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mc:AlternateContent xmlns:mc="http://schemas.openxmlformats.org/markup-compatibility/2006">
    <mc:Choice Requires="x15">
      <x15ac:absPath xmlns:x15ac="http://schemas.microsoft.com/office/spreadsheetml/2010/11/ac" url="Y:\Audit Reports\2022-23\Hardoli Paper Mills Ltd\Q4 Final\BSPL\Final Financial Statements\"/>
    </mc:Choice>
  </mc:AlternateContent>
  <xr:revisionPtr revIDLastSave="0" documentId="13_ncr:1_{FD40B461-198B-47D0-A2F0-B71C4EE838B0}" xr6:coauthVersionLast="47" xr6:coauthVersionMax="47" xr10:uidLastSave="{00000000-0000-0000-0000-000000000000}"/>
  <bookViews>
    <workbookView xWindow="-108" yWindow="-108" windowWidth="23256" windowHeight="12456" firstSheet="2" activeTab="4" xr2:uid="{00000000-000D-0000-FFFF-FFFF00000000}"/>
  </bookViews>
  <sheets>
    <sheet name="Ratio Analysis (2)" sheetId="39" r:id="rId1"/>
    <sheet name="Cash Flow Lakhs" sheetId="35" r:id="rId2"/>
    <sheet name="Cash Flow" sheetId="21" r:id="rId3"/>
    <sheet name="BSPL" sheetId="4" r:id="rId4"/>
    <sheet name="BSPL Lakhs" sheetId="40" r:id="rId5"/>
    <sheet name="Result 1 P&amp;L" sheetId="29" r:id="rId6"/>
    <sheet name="Result 2 BS" sheetId="30" r:id="rId7"/>
    <sheet name="Result 3 CF" sheetId="31" r:id="rId8"/>
    <sheet name="Working Capital" sheetId="10" state="hidden" r:id="rId9"/>
    <sheet name="Ratio Analysis" sheetId="37" r:id="rId10"/>
    <sheet name="FINAL LIST OF SAL CAPITALISE22-" sheetId="38" r:id="rId11"/>
    <sheet name="MSME Int" sheetId="34" r:id="rId12"/>
    <sheet name="COI" sheetId="22" r:id="rId13"/>
    <sheet name="Related Parties" sheetId="28" r:id="rId14"/>
    <sheet name="Depreciation" sheetId="5" r:id="rId15"/>
    <sheet name="Depreciation Lakhs" sheetId="36" r:id="rId16"/>
    <sheet name="Pivot" sheetId="3" r:id="rId17"/>
    <sheet name="TB Final" sheetId="1" state="hidden" r:id="rId18"/>
    <sheet name="TB" sheetId="2" state="hidden" r:id="rId19"/>
    <sheet name="Debtor's Ageing" sheetId="27" state="hidden" r:id="rId20"/>
    <sheet name="Dir Rem CA 2013" sheetId="25" state="hidden" r:id="rId21"/>
    <sheet name="Dir Rem" sheetId="24" state="hidden" r:id="rId22"/>
    <sheet name="DT" sheetId="23" r:id="rId23"/>
    <sheet name="TL &amp; intt." sheetId="18" state="hidden" r:id="rId24"/>
    <sheet name="Shareholders List" sheetId="14" state="hidden" r:id="rId25"/>
    <sheet name="Term Loans and Interest" sheetId="19" state="hidden" r:id="rId26"/>
    <sheet name="Cost Sheet" sheetId="13" state="hidden" r:id="rId27"/>
    <sheet name="IPS Sanction Letter &amp; Books" sheetId="12" state="hidden" r:id="rId28"/>
    <sheet name="Capital Advance" sheetId="11" state="hidden" r:id="rId29"/>
    <sheet name="Deferred taxation" sheetId="15" state="hidden" r:id="rId30"/>
    <sheet name="FG Valuation" sheetId="9" r:id="rId31"/>
    <sheet name="CLOSING STOCK 22-23" sheetId="7" r:id="rId32"/>
    <sheet name="Loans to staff" sheetId="8" state="hidden" r:id="rId33"/>
    <sheet name="Advance to Supplier" sheetId="16" state="hidden" r:id="rId34"/>
    <sheet name="IT Dep" sheetId="20" r:id="rId35"/>
    <sheet name="MSME 22-23" sheetId="33" r:id="rId36"/>
    <sheet name="Leave Encashment" sheetId="26"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a" localSheetId="1">#REF!</definedName>
    <definedName name="\a" localSheetId="15">#REF!</definedName>
    <definedName name="\a" localSheetId="34">#REF!</definedName>
    <definedName name="\a" localSheetId="0">#REF!</definedName>
    <definedName name="\a">#REF!</definedName>
    <definedName name="\B" localSheetId="1">#REF!</definedName>
    <definedName name="\B" localSheetId="15">#REF!</definedName>
    <definedName name="\B" localSheetId="34">#REF!</definedName>
    <definedName name="\B" localSheetId="0">#REF!</definedName>
    <definedName name="\B">#REF!</definedName>
    <definedName name="\C" localSheetId="1">#REF!</definedName>
    <definedName name="\C" localSheetId="15">#REF!</definedName>
    <definedName name="\C" localSheetId="0">#REF!</definedName>
    <definedName name="\C">#REF!</definedName>
    <definedName name="\D" localSheetId="1">#REF!</definedName>
    <definedName name="\D" localSheetId="15">#REF!</definedName>
    <definedName name="\D" localSheetId="0">#REF!</definedName>
    <definedName name="\D">#REF!</definedName>
    <definedName name="\E" localSheetId="1">#REF!</definedName>
    <definedName name="\E" localSheetId="15">#REF!</definedName>
    <definedName name="\E" localSheetId="0">#REF!</definedName>
    <definedName name="\E">#REF!</definedName>
    <definedName name="\F" localSheetId="1">#REF!</definedName>
    <definedName name="\F" localSheetId="15">#REF!</definedName>
    <definedName name="\F" localSheetId="0">#REF!</definedName>
    <definedName name="\F">#REF!</definedName>
    <definedName name="\G" localSheetId="1">#REF!</definedName>
    <definedName name="\G" localSheetId="15">#REF!</definedName>
    <definedName name="\G" localSheetId="0">#REF!</definedName>
    <definedName name="\G">#REF!</definedName>
    <definedName name="\I" localSheetId="1">#REF!</definedName>
    <definedName name="\I" localSheetId="15">#REF!</definedName>
    <definedName name="\I" localSheetId="0">#REF!</definedName>
    <definedName name="\I">#REF!</definedName>
    <definedName name="\J" localSheetId="1">#REF!</definedName>
    <definedName name="\J" localSheetId="15">#REF!</definedName>
    <definedName name="\J" localSheetId="0">#REF!</definedName>
    <definedName name="\J">#REF!</definedName>
    <definedName name="\M" localSheetId="1">#REF!</definedName>
    <definedName name="\M" localSheetId="15">#REF!</definedName>
    <definedName name="\M" localSheetId="0">#REF!</definedName>
    <definedName name="\M">#REF!</definedName>
    <definedName name="\P" localSheetId="1">#REF!</definedName>
    <definedName name="\P" localSheetId="15">#REF!</definedName>
    <definedName name="\P" localSheetId="0">#REF!</definedName>
    <definedName name="\P">#REF!</definedName>
    <definedName name="\Q" localSheetId="1">#REF!</definedName>
    <definedName name="\Q" localSheetId="15">#REF!</definedName>
    <definedName name="\Q" localSheetId="0">#REF!</definedName>
    <definedName name="\Q">#REF!</definedName>
    <definedName name="\S" localSheetId="1">#REF!</definedName>
    <definedName name="\S" localSheetId="15">#REF!</definedName>
    <definedName name="\S" localSheetId="0">#REF!</definedName>
    <definedName name="\S">#REF!</definedName>
    <definedName name="\T" localSheetId="1">#REF!</definedName>
    <definedName name="\T" localSheetId="15">#REF!</definedName>
    <definedName name="\T" localSheetId="0">#REF!</definedName>
    <definedName name="\T">#REF!</definedName>
    <definedName name="\U" localSheetId="1">#REF!</definedName>
    <definedName name="\U" localSheetId="15">#REF!</definedName>
    <definedName name="\U" localSheetId="0">#REF!</definedName>
    <definedName name="\U">#REF!</definedName>
    <definedName name="\Z" localSheetId="1">#REF!</definedName>
    <definedName name="\Z" localSheetId="15">#REF!</definedName>
    <definedName name="\Z" localSheetId="0">#REF!</definedName>
    <definedName name="\Z">#REF!</definedName>
    <definedName name="___________________crc1">[1]combined!$B$176:$H$232</definedName>
    <definedName name="___________________crc2">[1]combined!$B$236:$H$301</definedName>
    <definedName name="___________________crc3">[1]combined!$B$329:$H$387</definedName>
    <definedName name="___________________GRP1">'[2]BS 590'!$B$313:$G$386</definedName>
    <definedName name="___________________GRP3" localSheetId="1">'[3]BS&amp;PLA'!#REF!</definedName>
    <definedName name="___________________GRP3" localSheetId="15">'[3]BS&amp;PLA'!#REF!</definedName>
    <definedName name="___________________GRP3" localSheetId="35">'[3]BS&amp;PLA'!#REF!</definedName>
    <definedName name="___________________GRP3" localSheetId="9">'[3]BS&amp;PLA'!#REF!</definedName>
    <definedName name="___________________GRP3" localSheetId="0">'[3]BS&amp;PLA'!#REF!</definedName>
    <definedName name="___________________GRP3">'[3]BS&amp;PLA'!#REF!</definedName>
    <definedName name="___________________GRP4" localSheetId="1">'[3]BS&amp;PLA'!#REF!</definedName>
    <definedName name="___________________GRP4" localSheetId="15">'[3]BS&amp;PLA'!#REF!</definedName>
    <definedName name="___________________GRP4" localSheetId="35">'[3]BS&amp;PLA'!#REF!</definedName>
    <definedName name="___________________GRP4" localSheetId="9">'[3]BS&amp;PLA'!#REF!</definedName>
    <definedName name="___________________GRP4" localSheetId="0">'[3]BS&amp;PLA'!#REF!</definedName>
    <definedName name="___________________GRP4">'[3]BS&amp;PLA'!#REF!</definedName>
    <definedName name="___________________sch1">'[2]BS 590'!$B$125:$H$165</definedName>
    <definedName name="___________________sch2">'[2]BS 590'!$B$166:$H$193</definedName>
    <definedName name="___________________sch3">'[2]BS 590'!$B$194:$H$231</definedName>
    <definedName name="___________________sch4">'[2]BS 590'!$B$233:$H$280</definedName>
    <definedName name="___________________sch5">'[2]BS 590'!$B$281:$H$312</definedName>
    <definedName name="___________________STK1" localSheetId="33">#REF!</definedName>
    <definedName name="___________________STK1" localSheetId="1">#REF!</definedName>
    <definedName name="___________________STK1" localSheetId="19">#REF!</definedName>
    <definedName name="___________________STK1" localSheetId="15">#REF!</definedName>
    <definedName name="___________________STK1" localSheetId="34">#REF!</definedName>
    <definedName name="___________________STK1" localSheetId="32">#REF!</definedName>
    <definedName name="___________________STK1" localSheetId="35">#REF!</definedName>
    <definedName name="___________________STK1" localSheetId="0">#REF!</definedName>
    <definedName name="___________________STK1" localSheetId="13">#REF!</definedName>
    <definedName name="___________________STK1">#REF!</definedName>
    <definedName name="___________________STK2" localSheetId="33">#REF!</definedName>
    <definedName name="___________________STK2" localSheetId="1">#REF!</definedName>
    <definedName name="___________________STK2" localSheetId="19">#REF!</definedName>
    <definedName name="___________________STK2" localSheetId="15">#REF!</definedName>
    <definedName name="___________________STK2" localSheetId="32">#REF!</definedName>
    <definedName name="___________________STK2" localSheetId="35">#REF!</definedName>
    <definedName name="___________________STK2" localSheetId="0">#REF!</definedName>
    <definedName name="___________________STK2" localSheetId="13">#REF!</definedName>
    <definedName name="___________________STK2">#REF!</definedName>
    <definedName name="___________________STK3" localSheetId="33">#REF!</definedName>
    <definedName name="___________________STK3" localSheetId="1">#REF!</definedName>
    <definedName name="___________________STK3" localSheetId="19">#REF!</definedName>
    <definedName name="___________________STK3" localSheetId="15">#REF!</definedName>
    <definedName name="___________________STK3" localSheetId="32">#REF!</definedName>
    <definedName name="___________________STK3" localSheetId="35">#REF!</definedName>
    <definedName name="___________________STK3" localSheetId="0">#REF!</definedName>
    <definedName name="___________________STK3" localSheetId="13">#REF!</definedName>
    <definedName name="___________________STK3">#REF!</definedName>
    <definedName name="__________________crc1">[1]combined!$B$176:$H$232</definedName>
    <definedName name="__________________crc2">[1]combined!$B$236:$H$301</definedName>
    <definedName name="__________________crc3">[1]combined!$B$329:$H$387</definedName>
    <definedName name="__________________GRP1">'[2]BS 590'!$B$313:$G$386</definedName>
    <definedName name="__________________GRP2" localSheetId="1">'[3]BS&amp;PLA'!#REF!</definedName>
    <definedName name="__________________GRP2" localSheetId="15">'[3]BS&amp;PLA'!#REF!</definedName>
    <definedName name="__________________GRP2" localSheetId="35">'[3]BS&amp;PLA'!#REF!</definedName>
    <definedName name="__________________GRP2" localSheetId="9">'[3]BS&amp;PLA'!#REF!</definedName>
    <definedName name="__________________GRP2" localSheetId="0">'[3]BS&amp;PLA'!#REF!</definedName>
    <definedName name="__________________GRP2">'[3]BS&amp;PLA'!#REF!</definedName>
    <definedName name="__________________GRP3" localSheetId="33">'[4]BS&amp;PLA'!#REF!</definedName>
    <definedName name="__________________GRP3" localSheetId="1">'[4]BS&amp;PLA'!#REF!</definedName>
    <definedName name="__________________GRP3" localSheetId="19">'[4]BS&amp;PLA'!#REF!</definedName>
    <definedName name="__________________GRP3" localSheetId="15">'[4]BS&amp;PLA'!#REF!</definedName>
    <definedName name="__________________GRP3" localSheetId="34">'[4]BS&amp;PLA'!#REF!</definedName>
    <definedName name="__________________GRP3" localSheetId="32">'[4]BS&amp;PLA'!#REF!</definedName>
    <definedName name="__________________GRP3" localSheetId="35">'[4]BS&amp;PLA'!#REF!</definedName>
    <definedName name="__________________GRP3" localSheetId="0">'[4]BS&amp;PLA'!#REF!</definedName>
    <definedName name="__________________GRP3" localSheetId="13">'[4]BS&amp;PLA'!#REF!</definedName>
    <definedName name="__________________GRP3">'[4]BS&amp;PLA'!#REF!</definedName>
    <definedName name="__________________GRP4" localSheetId="33">'[4]BS&amp;PLA'!#REF!</definedName>
    <definedName name="__________________GRP4" localSheetId="1">'[4]BS&amp;PLA'!#REF!</definedName>
    <definedName name="__________________GRP4" localSheetId="19">'[4]BS&amp;PLA'!#REF!</definedName>
    <definedName name="__________________GRP4" localSheetId="15">'[4]BS&amp;PLA'!#REF!</definedName>
    <definedName name="__________________GRP4" localSheetId="35">'[4]BS&amp;PLA'!#REF!</definedName>
    <definedName name="__________________GRP4" localSheetId="0">'[4]BS&amp;PLA'!#REF!</definedName>
    <definedName name="__________________GRP4" localSheetId="13">'[4]BS&amp;PLA'!#REF!</definedName>
    <definedName name="__________________GRP4">'[4]BS&amp;PLA'!#REF!</definedName>
    <definedName name="__________________sch1">'[2]BS 590'!$B$125:$H$165</definedName>
    <definedName name="__________________sch2">'[2]BS 590'!$B$166:$H$193</definedName>
    <definedName name="__________________sch3">'[2]BS 590'!$B$194:$H$231</definedName>
    <definedName name="__________________sch4">'[2]BS 590'!$B$233:$H$280</definedName>
    <definedName name="__________________sch5">'[2]BS 590'!$B$281:$H$312</definedName>
    <definedName name="__________________STK1" localSheetId="33">#REF!</definedName>
    <definedName name="__________________STK1" localSheetId="1">#REF!</definedName>
    <definedName name="__________________STK1" localSheetId="19">#REF!</definedName>
    <definedName name="__________________STK1" localSheetId="15">#REF!</definedName>
    <definedName name="__________________STK1" localSheetId="34">#REF!</definedName>
    <definedName name="__________________STK1" localSheetId="32">#REF!</definedName>
    <definedName name="__________________STK1" localSheetId="35">#REF!</definedName>
    <definedName name="__________________STK1" localSheetId="0">#REF!</definedName>
    <definedName name="__________________STK1" localSheetId="13">#REF!</definedName>
    <definedName name="__________________STK1">#REF!</definedName>
    <definedName name="__________________STK2" localSheetId="33">#REF!</definedName>
    <definedName name="__________________STK2" localSheetId="1">#REF!</definedName>
    <definedName name="__________________STK2" localSheetId="19">#REF!</definedName>
    <definedName name="__________________STK2" localSheetId="15">#REF!</definedName>
    <definedName name="__________________STK2" localSheetId="32">#REF!</definedName>
    <definedName name="__________________STK2" localSheetId="35">#REF!</definedName>
    <definedName name="__________________STK2" localSheetId="0">#REF!</definedName>
    <definedName name="__________________STK2" localSheetId="13">#REF!</definedName>
    <definedName name="__________________STK2">#REF!</definedName>
    <definedName name="__________________STK3" localSheetId="33">#REF!</definedName>
    <definedName name="__________________STK3" localSheetId="1">#REF!</definedName>
    <definedName name="__________________STK3" localSheetId="19">#REF!</definedName>
    <definedName name="__________________STK3" localSheetId="15">#REF!</definedName>
    <definedName name="__________________STK3" localSheetId="32">#REF!</definedName>
    <definedName name="__________________STK3" localSheetId="35">#REF!</definedName>
    <definedName name="__________________STK3" localSheetId="0">#REF!</definedName>
    <definedName name="__________________STK3" localSheetId="13">#REF!</definedName>
    <definedName name="__________________STK3">#REF!</definedName>
    <definedName name="_________________cha1" localSheetId="33">#REF!</definedName>
    <definedName name="_________________cha1" localSheetId="1">#REF!</definedName>
    <definedName name="_________________cha1" localSheetId="19">#REF!</definedName>
    <definedName name="_________________cha1" localSheetId="15">#REF!</definedName>
    <definedName name="_________________cha1" localSheetId="32">#REF!</definedName>
    <definedName name="_________________cha1" localSheetId="35">#REF!</definedName>
    <definedName name="_________________cha1" localSheetId="0">#REF!</definedName>
    <definedName name="_________________cha1" localSheetId="13">#REF!</definedName>
    <definedName name="_________________cha1">#REF!</definedName>
    <definedName name="_________________cha2" localSheetId="33">#REF!</definedName>
    <definedName name="_________________cha2" localSheetId="1">#REF!</definedName>
    <definedName name="_________________cha2" localSheetId="19">#REF!</definedName>
    <definedName name="_________________cha2" localSheetId="15">#REF!</definedName>
    <definedName name="_________________cha2" localSheetId="32">#REF!</definedName>
    <definedName name="_________________cha2" localSheetId="35">#REF!</definedName>
    <definedName name="_________________cha2" localSheetId="0">#REF!</definedName>
    <definedName name="_________________cha2" localSheetId="13">#REF!</definedName>
    <definedName name="_________________cha2">#REF!</definedName>
    <definedName name="_________________cha3" localSheetId="33">#REF!</definedName>
    <definedName name="_________________cha3" localSheetId="1">#REF!</definedName>
    <definedName name="_________________cha3" localSheetId="19">#REF!</definedName>
    <definedName name="_________________cha3" localSheetId="15">#REF!</definedName>
    <definedName name="_________________cha3" localSheetId="32">#REF!</definedName>
    <definedName name="_________________cha3" localSheetId="35">#REF!</definedName>
    <definedName name="_________________cha3" localSheetId="0">#REF!</definedName>
    <definedName name="_________________cha3" localSheetId="13">#REF!</definedName>
    <definedName name="_________________cha3">#REF!</definedName>
    <definedName name="_________________cha4" localSheetId="33">#REF!</definedName>
    <definedName name="_________________cha4" localSheetId="1">#REF!</definedName>
    <definedName name="_________________cha4" localSheetId="19">#REF!</definedName>
    <definedName name="_________________cha4" localSheetId="15">#REF!</definedName>
    <definedName name="_________________cha4" localSheetId="32">#REF!</definedName>
    <definedName name="_________________cha4" localSheetId="35">#REF!</definedName>
    <definedName name="_________________cha4" localSheetId="0">#REF!</definedName>
    <definedName name="_________________cha4" localSheetId="13">#REF!</definedName>
    <definedName name="_________________cha4">#REF!</definedName>
    <definedName name="_________________cha5" localSheetId="33">#REF!</definedName>
    <definedName name="_________________cha5" localSheetId="1">#REF!</definedName>
    <definedName name="_________________cha5" localSheetId="19">#REF!</definedName>
    <definedName name="_________________cha5" localSheetId="15">#REF!</definedName>
    <definedName name="_________________cha5" localSheetId="32">#REF!</definedName>
    <definedName name="_________________cha5" localSheetId="35">#REF!</definedName>
    <definedName name="_________________cha5" localSheetId="0">#REF!</definedName>
    <definedName name="_________________cha5" localSheetId="13">#REF!</definedName>
    <definedName name="_________________cha5">#REF!</definedName>
    <definedName name="_________________cha6" localSheetId="33">#REF!</definedName>
    <definedName name="_________________cha6" localSheetId="1">#REF!</definedName>
    <definedName name="_________________cha6" localSheetId="19">#REF!</definedName>
    <definedName name="_________________cha6" localSheetId="15">#REF!</definedName>
    <definedName name="_________________cha6" localSheetId="32">#REF!</definedName>
    <definedName name="_________________cha6" localSheetId="35">#REF!</definedName>
    <definedName name="_________________cha6" localSheetId="0">#REF!</definedName>
    <definedName name="_________________cha6" localSheetId="13">#REF!</definedName>
    <definedName name="_________________cha6">#REF!</definedName>
    <definedName name="_________________crc1">[1]combined!$B$176:$H$232</definedName>
    <definedName name="_________________crc2">[1]combined!$B$236:$H$301</definedName>
    <definedName name="_________________crc3">[1]combined!$B$329:$H$387</definedName>
    <definedName name="_________________GRP1">'[2]BS 590'!$B$313:$G$386</definedName>
    <definedName name="_________________GRP2">'[2]BS 590'!$B$388:$G$427</definedName>
    <definedName name="_________________GRP3" localSheetId="33">'[4]BS&amp;PLA'!#REF!</definedName>
    <definedName name="_________________GRP3" localSheetId="1">'[4]BS&amp;PLA'!#REF!</definedName>
    <definedName name="_________________GRP3" localSheetId="19">'[4]BS&amp;PLA'!#REF!</definedName>
    <definedName name="_________________GRP3" localSheetId="15">'[4]BS&amp;PLA'!#REF!</definedName>
    <definedName name="_________________GRP3" localSheetId="34">'[4]BS&amp;PLA'!#REF!</definedName>
    <definedName name="_________________GRP3" localSheetId="32">'[4]BS&amp;PLA'!#REF!</definedName>
    <definedName name="_________________GRP3" localSheetId="35">'[4]BS&amp;PLA'!#REF!</definedName>
    <definedName name="_________________GRP3" localSheetId="9">'[4]BS&amp;PLA'!#REF!</definedName>
    <definedName name="_________________GRP3" localSheetId="0">'[4]BS&amp;PLA'!#REF!</definedName>
    <definedName name="_________________GRP3" localSheetId="13">'[4]BS&amp;PLA'!#REF!</definedName>
    <definedName name="_________________GRP3">'[4]BS&amp;PLA'!#REF!</definedName>
    <definedName name="_________________GRP4" localSheetId="33">'[4]BS&amp;PLA'!#REF!</definedName>
    <definedName name="_________________GRP4" localSheetId="1">'[4]BS&amp;PLA'!#REF!</definedName>
    <definedName name="_________________GRP4" localSheetId="19">'[4]BS&amp;PLA'!#REF!</definedName>
    <definedName name="_________________GRP4" localSheetId="15">'[4]BS&amp;PLA'!#REF!</definedName>
    <definedName name="_________________GRP4" localSheetId="34">'[4]BS&amp;PLA'!#REF!</definedName>
    <definedName name="_________________GRP4" localSheetId="35">'[4]BS&amp;PLA'!#REF!</definedName>
    <definedName name="_________________GRP4" localSheetId="0">'[4]BS&amp;PLA'!#REF!</definedName>
    <definedName name="_________________GRP4" localSheetId="13">'[4]BS&amp;PLA'!#REF!</definedName>
    <definedName name="_________________GRP4">'[4]BS&amp;PLA'!#REF!</definedName>
    <definedName name="_________________sch1">'[2]BS 590'!$B$125:$H$165</definedName>
    <definedName name="_________________sch2">'[2]BS 590'!$B$166:$H$193</definedName>
    <definedName name="_________________sch3">'[2]BS 590'!$B$194:$H$231</definedName>
    <definedName name="_________________sch4">'[2]BS 590'!$B$233:$H$280</definedName>
    <definedName name="_________________sch5">'[2]BS 590'!$B$281:$H$312</definedName>
    <definedName name="_________________STK1" localSheetId="33">#REF!</definedName>
    <definedName name="_________________STK1" localSheetId="1">#REF!</definedName>
    <definedName name="_________________STK1" localSheetId="19">#REF!</definedName>
    <definedName name="_________________STK1" localSheetId="15">#REF!</definedName>
    <definedName name="_________________STK1" localSheetId="34">#REF!</definedName>
    <definedName name="_________________STK1" localSheetId="32">#REF!</definedName>
    <definedName name="_________________STK1" localSheetId="35">#REF!</definedName>
    <definedName name="_________________STK1" localSheetId="0">#REF!</definedName>
    <definedName name="_________________STK1" localSheetId="13">#REF!</definedName>
    <definedName name="_________________STK1">#REF!</definedName>
    <definedName name="_________________STK2" localSheetId="33">#REF!</definedName>
    <definedName name="_________________STK2" localSheetId="1">#REF!</definedName>
    <definedName name="_________________STK2" localSheetId="19">#REF!</definedName>
    <definedName name="_________________STK2" localSheetId="15">#REF!</definedName>
    <definedName name="_________________STK2" localSheetId="32">#REF!</definedName>
    <definedName name="_________________STK2" localSheetId="35">#REF!</definedName>
    <definedName name="_________________STK2" localSheetId="0">#REF!</definedName>
    <definedName name="_________________STK2" localSheetId="13">#REF!</definedName>
    <definedName name="_________________STK2">#REF!</definedName>
    <definedName name="_________________STK3" localSheetId="33">#REF!</definedName>
    <definedName name="_________________STK3" localSheetId="1">#REF!</definedName>
    <definedName name="_________________STK3" localSheetId="19">#REF!</definedName>
    <definedName name="_________________STK3" localSheetId="15">#REF!</definedName>
    <definedName name="_________________STK3" localSheetId="32">#REF!</definedName>
    <definedName name="_________________STK3" localSheetId="35">#REF!</definedName>
    <definedName name="_________________STK3" localSheetId="0">#REF!</definedName>
    <definedName name="_________________STK3" localSheetId="13">#REF!</definedName>
    <definedName name="_________________STK3">#REF!</definedName>
    <definedName name="________________cha1" localSheetId="33">#REF!</definedName>
    <definedName name="________________cha1" localSheetId="1">#REF!</definedName>
    <definedName name="________________cha1" localSheetId="19">#REF!</definedName>
    <definedName name="________________cha1" localSheetId="15">#REF!</definedName>
    <definedName name="________________cha1" localSheetId="32">#REF!</definedName>
    <definedName name="________________cha1" localSheetId="35">#REF!</definedName>
    <definedName name="________________cha1" localSheetId="0">#REF!</definedName>
    <definedName name="________________cha1" localSheetId="13">#REF!</definedName>
    <definedName name="________________cha1">#REF!</definedName>
    <definedName name="________________cha2" localSheetId="33">#REF!</definedName>
    <definedName name="________________cha2" localSheetId="1">#REF!</definedName>
    <definedName name="________________cha2" localSheetId="19">#REF!</definedName>
    <definedName name="________________cha2" localSheetId="15">#REF!</definedName>
    <definedName name="________________cha2" localSheetId="32">#REF!</definedName>
    <definedName name="________________cha2" localSheetId="35">#REF!</definedName>
    <definedName name="________________cha2" localSheetId="0">#REF!</definedName>
    <definedName name="________________cha2" localSheetId="13">#REF!</definedName>
    <definedName name="________________cha2">#REF!</definedName>
    <definedName name="________________cha3" localSheetId="33">#REF!</definedName>
    <definedName name="________________cha3" localSheetId="1">#REF!</definedName>
    <definedName name="________________cha3" localSheetId="19">#REF!</definedName>
    <definedName name="________________cha3" localSheetId="15">#REF!</definedName>
    <definedName name="________________cha3" localSheetId="32">#REF!</definedName>
    <definedName name="________________cha3" localSheetId="35">#REF!</definedName>
    <definedName name="________________cha3" localSheetId="0">#REF!</definedName>
    <definedName name="________________cha3" localSheetId="13">#REF!</definedName>
    <definedName name="________________cha3">#REF!</definedName>
    <definedName name="________________cha4" localSheetId="33">#REF!</definedName>
    <definedName name="________________cha4" localSheetId="1">#REF!</definedName>
    <definedName name="________________cha4" localSheetId="19">#REF!</definedName>
    <definedName name="________________cha4" localSheetId="15">#REF!</definedName>
    <definedName name="________________cha4" localSheetId="32">#REF!</definedName>
    <definedName name="________________cha4" localSheetId="35">#REF!</definedName>
    <definedName name="________________cha4" localSheetId="0">#REF!</definedName>
    <definedName name="________________cha4" localSheetId="13">#REF!</definedName>
    <definedName name="________________cha4">#REF!</definedName>
    <definedName name="________________cha5" localSheetId="33">#REF!</definedName>
    <definedName name="________________cha5" localSheetId="1">#REF!</definedName>
    <definedName name="________________cha5" localSheetId="19">#REF!</definedName>
    <definedName name="________________cha5" localSheetId="15">#REF!</definedName>
    <definedName name="________________cha5" localSheetId="32">#REF!</definedName>
    <definedName name="________________cha5" localSheetId="35">#REF!</definedName>
    <definedName name="________________cha5" localSheetId="0">#REF!</definedName>
    <definedName name="________________cha5" localSheetId="13">#REF!</definedName>
    <definedName name="________________cha5">#REF!</definedName>
    <definedName name="________________cha6" localSheetId="33">#REF!</definedName>
    <definedName name="________________cha6" localSheetId="1">#REF!</definedName>
    <definedName name="________________cha6" localSheetId="19">#REF!</definedName>
    <definedName name="________________cha6" localSheetId="15">#REF!</definedName>
    <definedName name="________________cha6" localSheetId="32">#REF!</definedName>
    <definedName name="________________cha6" localSheetId="35">#REF!</definedName>
    <definedName name="________________cha6" localSheetId="0">#REF!</definedName>
    <definedName name="________________cha6" localSheetId="13">#REF!</definedName>
    <definedName name="________________cha6">#REF!</definedName>
    <definedName name="________________crc1">[1]combined!$B$176:$H$232</definedName>
    <definedName name="________________crc2">[1]combined!$B$236:$H$301</definedName>
    <definedName name="________________crc3">[1]combined!$B$329:$H$387</definedName>
    <definedName name="________________GRP1">'[2]BS 590'!$B$313:$G$386</definedName>
    <definedName name="________________GRP2">'[2]BS 590'!$B$388:$G$427</definedName>
    <definedName name="________________GRP3" localSheetId="33">'[4]BS&amp;PLA'!#REF!</definedName>
    <definedName name="________________GRP3" localSheetId="1">'[4]BS&amp;PLA'!#REF!</definedName>
    <definedName name="________________GRP3" localSheetId="19">'[4]BS&amp;PLA'!#REF!</definedName>
    <definedName name="________________GRP3" localSheetId="15">'[4]BS&amp;PLA'!#REF!</definedName>
    <definedName name="________________GRP3" localSheetId="34">'[4]BS&amp;PLA'!#REF!</definedName>
    <definedName name="________________GRP3" localSheetId="32">'[4]BS&amp;PLA'!#REF!</definedName>
    <definedName name="________________GRP3" localSheetId="35">'[4]BS&amp;PLA'!#REF!</definedName>
    <definedName name="________________GRP3" localSheetId="9">'[4]BS&amp;PLA'!#REF!</definedName>
    <definedName name="________________GRP3" localSheetId="0">'[4]BS&amp;PLA'!#REF!</definedName>
    <definedName name="________________GRP3" localSheetId="13">'[4]BS&amp;PLA'!#REF!</definedName>
    <definedName name="________________GRP3">'[4]BS&amp;PLA'!#REF!</definedName>
    <definedName name="________________GRP4" localSheetId="33">'[4]BS&amp;PLA'!#REF!</definedName>
    <definedName name="________________GRP4" localSheetId="1">'[4]BS&amp;PLA'!#REF!</definedName>
    <definedName name="________________GRP4" localSheetId="19">'[4]BS&amp;PLA'!#REF!</definedName>
    <definedName name="________________GRP4" localSheetId="15">'[4]BS&amp;PLA'!#REF!</definedName>
    <definedName name="________________GRP4" localSheetId="34">'[4]BS&amp;PLA'!#REF!</definedName>
    <definedName name="________________GRP4" localSheetId="35">'[4]BS&amp;PLA'!#REF!</definedName>
    <definedName name="________________GRP4" localSheetId="0">'[4]BS&amp;PLA'!#REF!</definedName>
    <definedName name="________________GRP4" localSheetId="13">'[4]BS&amp;PLA'!#REF!</definedName>
    <definedName name="________________GRP4">'[4]BS&amp;PLA'!#REF!</definedName>
    <definedName name="________________sch1">'[2]BS 590'!$B$125:$H$165</definedName>
    <definedName name="________________sch2">'[2]BS 590'!$B$166:$H$193</definedName>
    <definedName name="________________sch3">'[2]BS 590'!$B$194:$H$231</definedName>
    <definedName name="________________sch4">'[2]BS 590'!$B$233:$H$280</definedName>
    <definedName name="________________sch5">'[2]BS 590'!$B$281:$H$312</definedName>
    <definedName name="________________STK1" localSheetId="33">#REF!</definedName>
    <definedName name="________________STK1" localSheetId="1">#REF!</definedName>
    <definedName name="________________STK1" localSheetId="19">#REF!</definedName>
    <definedName name="________________STK1" localSheetId="15">#REF!</definedName>
    <definedName name="________________STK1" localSheetId="34">#REF!</definedName>
    <definedName name="________________STK1" localSheetId="32">#REF!</definedName>
    <definedName name="________________STK1" localSheetId="35">#REF!</definedName>
    <definedName name="________________STK1" localSheetId="0">#REF!</definedName>
    <definedName name="________________STK1" localSheetId="13">#REF!</definedName>
    <definedName name="________________STK1">#REF!</definedName>
    <definedName name="________________STK2" localSheetId="33">#REF!</definedName>
    <definedName name="________________STK2" localSheetId="1">#REF!</definedName>
    <definedName name="________________STK2" localSheetId="19">#REF!</definedName>
    <definedName name="________________STK2" localSheetId="15">#REF!</definedName>
    <definedName name="________________STK2" localSheetId="32">#REF!</definedName>
    <definedName name="________________STK2" localSheetId="35">#REF!</definedName>
    <definedName name="________________STK2" localSheetId="0">#REF!</definedName>
    <definedName name="________________STK2" localSheetId="13">#REF!</definedName>
    <definedName name="________________STK2">#REF!</definedName>
    <definedName name="________________STK3" localSheetId="33">#REF!</definedName>
    <definedName name="________________STK3" localSheetId="1">#REF!</definedName>
    <definedName name="________________STK3" localSheetId="19">#REF!</definedName>
    <definedName name="________________STK3" localSheetId="15">#REF!</definedName>
    <definedName name="________________STK3" localSheetId="32">#REF!</definedName>
    <definedName name="________________STK3" localSheetId="35">#REF!</definedName>
    <definedName name="________________STK3" localSheetId="0">#REF!</definedName>
    <definedName name="________________STK3" localSheetId="13">#REF!</definedName>
    <definedName name="________________STK3">#REF!</definedName>
    <definedName name="_______________cha1" localSheetId="33">#REF!</definedName>
    <definedName name="_______________cha1" localSheetId="1">#REF!</definedName>
    <definedName name="_______________cha1" localSheetId="19">#REF!</definedName>
    <definedName name="_______________cha1" localSheetId="15">#REF!</definedName>
    <definedName name="_______________cha1" localSheetId="32">#REF!</definedName>
    <definedName name="_______________cha1" localSheetId="35">#REF!</definedName>
    <definedName name="_______________cha1" localSheetId="0">#REF!</definedName>
    <definedName name="_______________cha1" localSheetId="13">#REF!</definedName>
    <definedName name="_______________cha1">#REF!</definedName>
    <definedName name="_______________cha2" localSheetId="33">#REF!</definedName>
    <definedName name="_______________cha2" localSheetId="1">#REF!</definedName>
    <definedName name="_______________cha2" localSheetId="19">#REF!</definedName>
    <definedName name="_______________cha2" localSheetId="15">#REF!</definedName>
    <definedName name="_______________cha2" localSheetId="32">#REF!</definedName>
    <definedName name="_______________cha2" localSheetId="35">#REF!</definedName>
    <definedName name="_______________cha2" localSheetId="0">#REF!</definedName>
    <definedName name="_______________cha2" localSheetId="13">#REF!</definedName>
    <definedName name="_______________cha2">#REF!</definedName>
    <definedName name="_______________cha3" localSheetId="33">#REF!</definedName>
    <definedName name="_______________cha3" localSheetId="1">#REF!</definedName>
    <definedName name="_______________cha3" localSheetId="19">#REF!</definedName>
    <definedName name="_______________cha3" localSheetId="15">#REF!</definedName>
    <definedName name="_______________cha3" localSheetId="32">#REF!</definedName>
    <definedName name="_______________cha3" localSheetId="35">#REF!</definedName>
    <definedName name="_______________cha3" localSheetId="0">#REF!</definedName>
    <definedName name="_______________cha3" localSheetId="13">#REF!</definedName>
    <definedName name="_______________cha3">#REF!</definedName>
    <definedName name="_______________cha4" localSheetId="33">#REF!</definedName>
    <definedName name="_______________cha4" localSheetId="1">#REF!</definedName>
    <definedName name="_______________cha4" localSheetId="19">#REF!</definedName>
    <definedName name="_______________cha4" localSheetId="15">#REF!</definedName>
    <definedName name="_______________cha4" localSheetId="32">#REF!</definedName>
    <definedName name="_______________cha4" localSheetId="35">#REF!</definedName>
    <definedName name="_______________cha4" localSheetId="0">#REF!</definedName>
    <definedName name="_______________cha4" localSheetId="13">#REF!</definedName>
    <definedName name="_______________cha4">#REF!</definedName>
    <definedName name="_______________cha5" localSheetId="33">#REF!</definedName>
    <definedName name="_______________cha5" localSheetId="1">#REF!</definedName>
    <definedName name="_______________cha5" localSheetId="19">#REF!</definedName>
    <definedName name="_______________cha5" localSheetId="15">#REF!</definedName>
    <definedName name="_______________cha5" localSheetId="32">#REF!</definedName>
    <definedName name="_______________cha5" localSheetId="35">#REF!</definedName>
    <definedName name="_______________cha5" localSheetId="0">#REF!</definedName>
    <definedName name="_______________cha5" localSheetId="13">#REF!</definedName>
    <definedName name="_______________cha5">#REF!</definedName>
    <definedName name="_______________cha6" localSheetId="33">#REF!</definedName>
    <definedName name="_______________cha6" localSheetId="1">#REF!</definedName>
    <definedName name="_______________cha6" localSheetId="19">#REF!</definedName>
    <definedName name="_______________cha6" localSheetId="15">#REF!</definedName>
    <definedName name="_______________cha6" localSheetId="32">#REF!</definedName>
    <definedName name="_______________cha6" localSheetId="35">#REF!</definedName>
    <definedName name="_______________cha6" localSheetId="0">#REF!</definedName>
    <definedName name="_______________cha6" localSheetId="13">#REF!</definedName>
    <definedName name="_______________cha6">#REF!</definedName>
    <definedName name="_______________crc1">[1]combined!$B$176:$H$232</definedName>
    <definedName name="_______________crc2">[1]combined!$B$236:$H$301</definedName>
    <definedName name="_______________crc3">[1]combined!$B$329:$H$387</definedName>
    <definedName name="_______________GRP1">'[2]BS 590'!$B$313:$G$386</definedName>
    <definedName name="_______________GRP2">'[2]BS 590'!$B$388:$G$427</definedName>
    <definedName name="_______________GRP3" localSheetId="33">'[4]BS&amp;PLA'!#REF!</definedName>
    <definedName name="_______________GRP3" localSheetId="1">'[4]BS&amp;PLA'!#REF!</definedName>
    <definedName name="_______________GRP3" localSheetId="19">'[4]BS&amp;PLA'!#REF!</definedName>
    <definedName name="_______________GRP3" localSheetId="15">'[4]BS&amp;PLA'!#REF!</definedName>
    <definedName name="_______________GRP3" localSheetId="34">'[4]BS&amp;PLA'!#REF!</definedName>
    <definedName name="_______________GRP3" localSheetId="32">'[4]BS&amp;PLA'!#REF!</definedName>
    <definedName name="_______________GRP3" localSheetId="35">'[4]BS&amp;PLA'!#REF!</definedName>
    <definedName name="_______________GRP3" localSheetId="9">'[4]BS&amp;PLA'!#REF!</definedName>
    <definedName name="_______________GRP3" localSheetId="0">'[4]BS&amp;PLA'!#REF!</definedName>
    <definedName name="_______________GRP3" localSheetId="13">'[4]BS&amp;PLA'!#REF!</definedName>
    <definedName name="_______________GRP3">'[4]BS&amp;PLA'!#REF!</definedName>
    <definedName name="_______________GRP4" localSheetId="33">'[4]BS&amp;PLA'!#REF!</definedName>
    <definedName name="_______________GRP4" localSheetId="1">'[4]BS&amp;PLA'!#REF!</definedName>
    <definedName name="_______________GRP4" localSheetId="19">'[4]BS&amp;PLA'!#REF!</definedName>
    <definedName name="_______________GRP4" localSheetId="15">'[4]BS&amp;PLA'!#REF!</definedName>
    <definedName name="_______________GRP4" localSheetId="34">'[4]BS&amp;PLA'!#REF!</definedName>
    <definedName name="_______________GRP4" localSheetId="35">'[4]BS&amp;PLA'!#REF!</definedName>
    <definedName name="_______________GRP4" localSheetId="0">'[4]BS&amp;PLA'!#REF!</definedName>
    <definedName name="_______________GRP4" localSheetId="13">'[4]BS&amp;PLA'!#REF!</definedName>
    <definedName name="_______________GRP4">'[4]BS&amp;PLA'!#REF!</definedName>
    <definedName name="_______________sch1">'[2]BS 590'!$B$125:$H$165</definedName>
    <definedName name="_______________sch2">'[2]BS 590'!$B$166:$H$193</definedName>
    <definedName name="_______________sch3">'[2]BS 590'!$B$194:$H$231</definedName>
    <definedName name="_______________sch4">'[2]BS 590'!$B$233:$H$280</definedName>
    <definedName name="_______________sch5">'[2]BS 590'!$B$281:$H$312</definedName>
    <definedName name="_______________STK1" localSheetId="33">#REF!</definedName>
    <definedName name="_______________STK1" localSheetId="1">#REF!</definedName>
    <definedName name="_______________STK1" localSheetId="19">#REF!</definedName>
    <definedName name="_______________STK1" localSheetId="15">#REF!</definedName>
    <definedName name="_______________STK1" localSheetId="34">#REF!</definedName>
    <definedName name="_______________STK1" localSheetId="32">#REF!</definedName>
    <definedName name="_______________STK1" localSheetId="35">#REF!</definedName>
    <definedName name="_______________STK1" localSheetId="0">#REF!</definedName>
    <definedName name="_______________STK1" localSheetId="13">#REF!</definedName>
    <definedName name="_______________STK1">#REF!</definedName>
    <definedName name="_______________STK2" localSheetId="33">#REF!</definedName>
    <definedName name="_______________STK2" localSheetId="1">#REF!</definedName>
    <definedName name="_______________STK2" localSheetId="19">#REF!</definedName>
    <definedName name="_______________STK2" localSheetId="15">#REF!</definedName>
    <definedName name="_______________STK2" localSheetId="32">#REF!</definedName>
    <definedName name="_______________STK2" localSheetId="35">#REF!</definedName>
    <definedName name="_______________STK2" localSheetId="0">#REF!</definedName>
    <definedName name="_______________STK2" localSheetId="13">#REF!</definedName>
    <definedName name="_______________STK2">#REF!</definedName>
    <definedName name="_______________STK3" localSheetId="33">#REF!</definedName>
    <definedName name="_______________STK3" localSheetId="1">#REF!</definedName>
    <definedName name="_______________STK3" localSheetId="19">#REF!</definedName>
    <definedName name="_______________STK3" localSheetId="15">#REF!</definedName>
    <definedName name="_______________STK3" localSheetId="32">#REF!</definedName>
    <definedName name="_______________STK3" localSheetId="35">#REF!</definedName>
    <definedName name="_______________STK3" localSheetId="0">#REF!</definedName>
    <definedName name="_______________STK3" localSheetId="13">#REF!</definedName>
    <definedName name="_______________STK3">#REF!</definedName>
    <definedName name="______________cha1" localSheetId="33">#REF!</definedName>
    <definedName name="______________cha1" localSheetId="1">#REF!</definedName>
    <definedName name="______________cha1" localSheetId="19">#REF!</definedName>
    <definedName name="______________cha1" localSheetId="15">#REF!</definedName>
    <definedName name="______________cha1" localSheetId="32">#REF!</definedName>
    <definedName name="______________cha1" localSheetId="35">#REF!</definedName>
    <definedName name="______________cha1" localSheetId="0">#REF!</definedName>
    <definedName name="______________cha1" localSheetId="13">#REF!</definedName>
    <definedName name="______________cha1">#REF!</definedName>
    <definedName name="______________cha2" localSheetId="33">#REF!</definedName>
    <definedName name="______________cha2" localSheetId="1">#REF!</definedName>
    <definedName name="______________cha2" localSheetId="19">#REF!</definedName>
    <definedName name="______________cha2" localSheetId="15">#REF!</definedName>
    <definedName name="______________cha2" localSheetId="32">#REF!</definedName>
    <definedName name="______________cha2" localSheetId="35">#REF!</definedName>
    <definedName name="______________cha2" localSheetId="0">#REF!</definedName>
    <definedName name="______________cha2" localSheetId="13">#REF!</definedName>
    <definedName name="______________cha2">#REF!</definedName>
    <definedName name="______________cha3" localSheetId="33">#REF!</definedName>
    <definedName name="______________cha3" localSheetId="1">#REF!</definedName>
    <definedName name="______________cha3" localSheetId="19">#REF!</definedName>
    <definedName name="______________cha3" localSheetId="15">#REF!</definedName>
    <definedName name="______________cha3" localSheetId="32">#REF!</definedName>
    <definedName name="______________cha3" localSheetId="35">#REF!</definedName>
    <definedName name="______________cha3" localSheetId="0">#REF!</definedName>
    <definedName name="______________cha3" localSheetId="13">#REF!</definedName>
    <definedName name="______________cha3">#REF!</definedName>
    <definedName name="______________cha4" localSheetId="33">#REF!</definedName>
    <definedName name="______________cha4" localSheetId="1">#REF!</definedName>
    <definedName name="______________cha4" localSheetId="19">#REF!</definedName>
    <definedName name="______________cha4" localSheetId="15">#REF!</definedName>
    <definedName name="______________cha4" localSheetId="32">#REF!</definedName>
    <definedName name="______________cha4" localSheetId="35">#REF!</definedName>
    <definedName name="______________cha4" localSheetId="0">#REF!</definedName>
    <definedName name="______________cha4" localSheetId="13">#REF!</definedName>
    <definedName name="______________cha4">#REF!</definedName>
    <definedName name="______________cha5" localSheetId="33">#REF!</definedName>
    <definedName name="______________cha5" localSheetId="1">#REF!</definedName>
    <definedName name="______________cha5" localSheetId="19">#REF!</definedName>
    <definedName name="______________cha5" localSheetId="15">#REF!</definedName>
    <definedName name="______________cha5" localSheetId="32">#REF!</definedName>
    <definedName name="______________cha5" localSheetId="35">#REF!</definedName>
    <definedName name="______________cha5" localSheetId="0">#REF!</definedName>
    <definedName name="______________cha5" localSheetId="13">#REF!</definedName>
    <definedName name="______________cha5">#REF!</definedName>
    <definedName name="______________cha6" localSheetId="33">#REF!</definedName>
    <definedName name="______________cha6" localSheetId="1">#REF!</definedName>
    <definedName name="______________cha6" localSheetId="19">#REF!</definedName>
    <definedName name="______________cha6" localSheetId="15">#REF!</definedName>
    <definedName name="______________cha6" localSheetId="32">#REF!</definedName>
    <definedName name="______________cha6" localSheetId="35">#REF!</definedName>
    <definedName name="______________cha6" localSheetId="0">#REF!</definedName>
    <definedName name="______________cha6" localSheetId="13">#REF!</definedName>
    <definedName name="______________cha6">#REF!</definedName>
    <definedName name="______________crc1">[1]combined!$B$176:$H$232</definedName>
    <definedName name="______________crc2">[1]combined!$B$236:$H$301</definedName>
    <definedName name="______________crc3">[1]combined!$B$329:$H$387</definedName>
    <definedName name="______________GRP1">'[2]BS 590'!$B$313:$G$386</definedName>
    <definedName name="______________GRP2">'[2]BS 590'!$B$388:$G$427</definedName>
    <definedName name="______________GRP3" localSheetId="33">'[4]BS&amp;PLA'!#REF!</definedName>
    <definedName name="______________GRP3" localSheetId="1">'[4]BS&amp;PLA'!#REF!</definedName>
    <definedName name="______________GRP3" localSheetId="19">'[4]BS&amp;PLA'!#REF!</definedName>
    <definedName name="______________GRP3" localSheetId="15">'[4]BS&amp;PLA'!#REF!</definedName>
    <definedName name="______________GRP3" localSheetId="34">'[4]BS&amp;PLA'!#REF!</definedName>
    <definedName name="______________GRP3" localSheetId="32">'[4]BS&amp;PLA'!#REF!</definedName>
    <definedName name="______________GRP3" localSheetId="35">'[4]BS&amp;PLA'!#REF!</definedName>
    <definedName name="______________GRP3" localSheetId="9">'[4]BS&amp;PLA'!#REF!</definedName>
    <definedName name="______________GRP3" localSheetId="0">'[4]BS&amp;PLA'!#REF!</definedName>
    <definedName name="______________GRP3" localSheetId="13">'[4]BS&amp;PLA'!#REF!</definedName>
    <definedName name="______________GRP3">'[4]BS&amp;PLA'!#REF!</definedName>
    <definedName name="______________GRP4" localSheetId="33">'[4]BS&amp;PLA'!#REF!</definedName>
    <definedName name="______________GRP4" localSheetId="1">'[4]BS&amp;PLA'!#REF!</definedName>
    <definedName name="______________GRP4" localSheetId="19">'[4]BS&amp;PLA'!#REF!</definedName>
    <definedName name="______________GRP4" localSheetId="15">'[4]BS&amp;PLA'!#REF!</definedName>
    <definedName name="______________GRP4" localSheetId="34">'[4]BS&amp;PLA'!#REF!</definedName>
    <definedName name="______________GRP4" localSheetId="35">'[4]BS&amp;PLA'!#REF!</definedName>
    <definedName name="______________GRP4" localSheetId="0">'[4]BS&amp;PLA'!#REF!</definedName>
    <definedName name="______________GRP4" localSheetId="13">'[4]BS&amp;PLA'!#REF!</definedName>
    <definedName name="______________GRP4">'[4]BS&amp;PLA'!#REF!</definedName>
    <definedName name="______________sch1">'[2]BS 590'!$B$125:$H$165</definedName>
    <definedName name="______________sch2">'[2]BS 590'!$B$166:$H$193</definedName>
    <definedName name="______________sch3">'[2]BS 590'!$B$194:$H$231</definedName>
    <definedName name="______________sch4">'[2]BS 590'!$B$233:$H$280</definedName>
    <definedName name="______________sch5">'[2]BS 590'!$B$281:$H$312</definedName>
    <definedName name="______________STK1" localSheetId="33">#REF!</definedName>
    <definedName name="______________STK1" localSheetId="1">#REF!</definedName>
    <definedName name="______________STK1" localSheetId="19">#REF!</definedName>
    <definedName name="______________STK1" localSheetId="15">#REF!</definedName>
    <definedName name="______________STK1" localSheetId="34">#REF!</definedName>
    <definedName name="______________STK1" localSheetId="32">#REF!</definedName>
    <definedName name="______________STK1" localSheetId="35">#REF!</definedName>
    <definedName name="______________STK1" localSheetId="0">#REF!</definedName>
    <definedName name="______________STK1" localSheetId="13">#REF!</definedName>
    <definedName name="______________STK1">#REF!</definedName>
    <definedName name="______________STK2" localSheetId="33">#REF!</definedName>
    <definedName name="______________STK2" localSheetId="1">#REF!</definedName>
    <definedName name="______________STK2" localSheetId="19">#REF!</definedName>
    <definedName name="______________STK2" localSheetId="15">#REF!</definedName>
    <definedName name="______________STK2" localSheetId="32">#REF!</definedName>
    <definedName name="______________STK2" localSheetId="35">#REF!</definedName>
    <definedName name="______________STK2" localSheetId="0">#REF!</definedName>
    <definedName name="______________STK2" localSheetId="13">#REF!</definedName>
    <definedName name="______________STK2">#REF!</definedName>
    <definedName name="______________STK3" localSheetId="33">#REF!</definedName>
    <definedName name="______________STK3" localSheetId="1">#REF!</definedName>
    <definedName name="______________STK3" localSheetId="19">#REF!</definedName>
    <definedName name="______________STK3" localSheetId="15">#REF!</definedName>
    <definedName name="______________STK3" localSheetId="32">#REF!</definedName>
    <definedName name="______________STK3" localSheetId="35">#REF!</definedName>
    <definedName name="______________STK3" localSheetId="0">#REF!</definedName>
    <definedName name="______________STK3" localSheetId="13">#REF!</definedName>
    <definedName name="______________STK3">#REF!</definedName>
    <definedName name="_____________cha1" localSheetId="33">#REF!</definedName>
    <definedName name="_____________cha1" localSheetId="1">#REF!</definedName>
    <definedName name="_____________cha1" localSheetId="19">#REF!</definedName>
    <definedName name="_____________cha1" localSheetId="15">#REF!</definedName>
    <definedName name="_____________cha1" localSheetId="32">#REF!</definedName>
    <definedName name="_____________cha1" localSheetId="35">#REF!</definedName>
    <definedName name="_____________cha1" localSheetId="0">#REF!</definedName>
    <definedName name="_____________cha1" localSheetId="13">#REF!</definedName>
    <definedName name="_____________cha1">#REF!</definedName>
    <definedName name="_____________cha2" localSheetId="33">#REF!</definedName>
    <definedName name="_____________cha2" localSheetId="1">#REF!</definedName>
    <definedName name="_____________cha2" localSheetId="19">#REF!</definedName>
    <definedName name="_____________cha2" localSheetId="15">#REF!</definedName>
    <definedName name="_____________cha2" localSheetId="32">#REF!</definedName>
    <definedName name="_____________cha2" localSheetId="35">#REF!</definedName>
    <definedName name="_____________cha2" localSheetId="0">#REF!</definedName>
    <definedName name="_____________cha2" localSheetId="13">#REF!</definedName>
    <definedName name="_____________cha2">#REF!</definedName>
    <definedName name="_____________cha3" localSheetId="33">#REF!</definedName>
    <definedName name="_____________cha3" localSheetId="1">#REF!</definedName>
    <definedName name="_____________cha3" localSheetId="19">#REF!</definedName>
    <definedName name="_____________cha3" localSheetId="15">#REF!</definedName>
    <definedName name="_____________cha3" localSheetId="32">#REF!</definedName>
    <definedName name="_____________cha3" localSheetId="35">#REF!</definedName>
    <definedName name="_____________cha3" localSheetId="0">#REF!</definedName>
    <definedName name="_____________cha3" localSheetId="13">#REF!</definedName>
    <definedName name="_____________cha3">#REF!</definedName>
    <definedName name="_____________cha4" localSheetId="33">#REF!</definedName>
    <definedName name="_____________cha4" localSheetId="1">#REF!</definedName>
    <definedName name="_____________cha4" localSheetId="19">#REF!</definedName>
    <definedName name="_____________cha4" localSheetId="15">#REF!</definedName>
    <definedName name="_____________cha4" localSheetId="32">#REF!</definedName>
    <definedName name="_____________cha4" localSheetId="35">#REF!</definedName>
    <definedName name="_____________cha4" localSheetId="0">#REF!</definedName>
    <definedName name="_____________cha4" localSheetId="13">#REF!</definedName>
    <definedName name="_____________cha4">#REF!</definedName>
    <definedName name="_____________cha5" localSheetId="33">#REF!</definedName>
    <definedName name="_____________cha5" localSheetId="1">#REF!</definedName>
    <definedName name="_____________cha5" localSheetId="19">#REF!</definedName>
    <definedName name="_____________cha5" localSheetId="15">#REF!</definedName>
    <definedName name="_____________cha5" localSheetId="32">#REF!</definedName>
    <definedName name="_____________cha5" localSheetId="35">#REF!</definedName>
    <definedName name="_____________cha5" localSheetId="0">#REF!</definedName>
    <definedName name="_____________cha5" localSheetId="13">#REF!</definedName>
    <definedName name="_____________cha5">#REF!</definedName>
    <definedName name="_____________cha6" localSheetId="33">#REF!</definedName>
    <definedName name="_____________cha6" localSheetId="1">#REF!</definedName>
    <definedName name="_____________cha6" localSheetId="19">#REF!</definedName>
    <definedName name="_____________cha6" localSheetId="15">#REF!</definedName>
    <definedName name="_____________cha6" localSheetId="32">#REF!</definedName>
    <definedName name="_____________cha6" localSheetId="35">#REF!</definedName>
    <definedName name="_____________cha6" localSheetId="0">#REF!</definedName>
    <definedName name="_____________cha6" localSheetId="13">#REF!</definedName>
    <definedName name="_____________cha6">#REF!</definedName>
    <definedName name="_____________crc1">[1]combined!$B$176:$H$232</definedName>
    <definedName name="_____________crc2">[1]combined!$B$236:$H$301</definedName>
    <definedName name="_____________crc3">[1]combined!$B$329:$H$387</definedName>
    <definedName name="_____________GRP1">'[2]BS 590'!$B$313:$G$386</definedName>
    <definedName name="_____________GRP2">'[2]BS 590'!$B$388:$G$427</definedName>
    <definedName name="_____________GRP3" localSheetId="33">'[4]BS&amp;PLA'!#REF!</definedName>
    <definedName name="_____________GRP3" localSheetId="1">'[4]BS&amp;PLA'!#REF!</definedName>
    <definedName name="_____________GRP3" localSheetId="19">'[4]BS&amp;PLA'!#REF!</definedName>
    <definedName name="_____________GRP3" localSheetId="15">'[4]BS&amp;PLA'!#REF!</definedName>
    <definedName name="_____________GRP3" localSheetId="34">'[4]BS&amp;PLA'!#REF!</definedName>
    <definedName name="_____________GRP3" localSheetId="32">'[4]BS&amp;PLA'!#REF!</definedName>
    <definedName name="_____________GRP3" localSheetId="35">'[4]BS&amp;PLA'!#REF!</definedName>
    <definedName name="_____________GRP3" localSheetId="9">'[4]BS&amp;PLA'!#REF!</definedName>
    <definedName name="_____________GRP3" localSheetId="0">'[4]BS&amp;PLA'!#REF!</definedName>
    <definedName name="_____________GRP3" localSheetId="13">'[4]BS&amp;PLA'!#REF!</definedName>
    <definedName name="_____________GRP3">'[4]BS&amp;PLA'!#REF!</definedName>
    <definedName name="_____________GRP4" localSheetId="33">'[4]BS&amp;PLA'!#REF!</definedName>
    <definedName name="_____________GRP4" localSheetId="1">'[4]BS&amp;PLA'!#REF!</definedName>
    <definedName name="_____________GRP4" localSheetId="19">'[4]BS&amp;PLA'!#REF!</definedName>
    <definedName name="_____________GRP4" localSheetId="15">'[4]BS&amp;PLA'!#REF!</definedName>
    <definedName name="_____________GRP4" localSheetId="34">'[4]BS&amp;PLA'!#REF!</definedName>
    <definedName name="_____________GRP4" localSheetId="35">'[4]BS&amp;PLA'!#REF!</definedName>
    <definedName name="_____________GRP4" localSheetId="0">'[4]BS&amp;PLA'!#REF!</definedName>
    <definedName name="_____________GRP4" localSheetId="13">'[4]BS&amp;PLA'!#REF!</definedName>
    <definedName name="_____________GRP4">'[4]BS&amp;PLA'!#REF!</definedName>
    <definedName name="_____________sch1">'[2]BS 590'!$B$125:$H$165</definedName>
    <definedName name="_____________sch2">'[2]BS 590'!$B$166:$H$193</definedName>
    <definedName name="_____________sch3">'[2]BS 590'!$B$194:$H$231</definedName>
    <definedName name="_____________sch4">'[2]BS 590'!$B$233:$H$280</definedName>
    <definedName name="_____________sch5">'[2]BS 590'!$B$281:$H$312</definedName>
    <definedName name="_____________STK1" localSheetId="33">#REF!</definedName>
    <definedName name="_____________STK1" localSheetId="1">#REF!</definedName>
    <definedName name="_____________STK1" localSheetId="19">#REF!</definedName>
    <definedName name="_____________STK1" localSheetId="15">#REF!</definedName>
    <definedName name="_____________STK1" localSheetId="34">#REF!</definedName>
    <definedName name="_____________STK1" localSheetId="32">#REF!</definedName>
    <definedName name="_____________STK1" localSheetId="35">#REF!</definedName>
    <definedName name="_____________STK1" localSheetId="0">#REF!</definedName>
    <definedName name="_____________STK1" localSheetId="13">#REF!</definedName>
    <definedName name="_____________STK1">#REF!</definedName>
    <definedName name="_____________STK2" localSheetId="33">#REF!</definedName>
    <definedName name="_____________STK2" localSheetId="1">#REF!</definedName>
    <definedName name="_____________STK2" localSheetId="19">#REF!</definedName>
    <definedName name="_____________STK2" localSheetId="15">#REF!</definedName>
    <definedName name="_____________STK2" localSheetId="32">#REF!</definedName>
    <definedName name="_____________STK2" localSheetId="35">#REF!</definedName>
    <definedName name="_____________STK2" localSheetId="0">#REF!</definedName>
    <definedName name="_____________STK2" localSheetId="13">#REF!</definedName>
    <definedName name="_____________STK2">#REF!</definedName>
    <definedName name="_____________STK3" localSheetId="33">#REF!</definedName>
    <definedName name="_____________STK3" localSheetId="1">#REF!</definedName>
    <definedName name="_____________STK3" localSheetId="19">#REF!</definedName>
    <definedName name="_____________STK3" localSheetId="15">#REF!</definedName>
    <definedName name="_____________STK3" localSheetId="32">#REF!</definedName>
    <definedName name="_____________STK3" localSheetId="35">#REF!</definedName>
    <definedName name="_____________STK3" localSheetId="0">#REF!</definedName>
    <definedName name="_____________STK3" localSheetId="13">#REF!</definedName>
    <definedName name="_____________STK3">#REF!</definedName>
    <definedName name="____________cha1" localSheetId="33">#REF!</definedName>
    <definedName name="____________cha1" localSheetId="1">#REF!</definedName>
    <definedName name="____________cha1" localSheetId="19">#REF!</definedName>
    <definedName name="____________cha1" localSheetId="15">#REF!</definedName>
    <definedName name="____________cha1" localSheetId="32">#REF!</definedName>
    <definedName name="____________cha1" localSheetId="35">#REF!</definedName>
    <definedName name="____________cha1" localSheetId="0">#REF!</definedName>
    <definedName name="____________cha1" localSheetId="13">#REF!</definedName>
    <definedName name="____________cha1">#REF!</definedName>
    <definedName name="____________cha2" localSheetId="33">#REF!</definedName>
    <definedName name="____________cha2" localSheetId="1">#REF!</definedName>
    <definedName name="____________cha2" localSheetId="19">#REF!</definedName>
    <definedName name="____________cha2" localSheetId="15">#REF!</definedName>
    <definedName name="____________cha2" localSheetId="32">#REF!</definedName>
    <definedName name="____________cha2" localSheetId="35">#REF!</definedName>
    <definedName name="____________cha2" localSheetId="0">#REF!</definedName>
    <definedName name="____________cha2" localSheetId="13">#REF!</definedName>
    <definedName name="____________cha2">#REF!</definedName>
    <definedName name="____________cha3" localSheetId="33">#REF!</definedName>
    <definedName name="____________cha3" localSheetId="1">#REF!</definedName>
    <definedName name="____________cha3" localSheetId="19">#REF!</definedName>
    <definedName name="____________cha3" localSheetId="15">#REF!</definedName>
    <definedName name="____________cha3" localSheetId="32">#REF!</definedName>
    <definedName name="____________cha3" localSheetId="35">#REF!</definedName>
    <definedName name="____________cha3" localSheetId="0">#REF!</definedName>
    <definedName name="____________cha3" localSheetId="13">#REF!</definedName>
    <definedName name="____________cha3">#REF!</definedName>
    <definedName name="____________cha4" localSheetId="33">#REF!</definedName>
    <definedName name="____________cha4" localSheetId="1">#REF!</definedName>
    <definedName name="____________cha4" localSheetId="19">#REF!</definedName>
    <definedName name="____________cha4" localSheetId="15">#REF!</definedName>
    <definedName name="____________cha4" localSheetId="32">#REF!</definedName>
    <definedName name="____________cha4" localSheetId="35">#REF!</definedName>
    <definedName name="____________cha4" localSheetId="0">#REF!</definedName>
    <definedName name="____________cha4" localSheetId="13">#REF!</definedName>
    <definedName name="____________cha4">#REF!</definedName>
    <definedName name="____________cha5" localSheetId="33">#REF!</definedName>
    <definedName name="____________cha5" localSheetId="1">#REF!</definedName>
    <definedName name="____________cha5" localSheetId="19">#REF!</definedName>
    <definedName name="____________cha5" localSheetId="15">#REF!</definedName>
    <definedName name="____________cha5" localSheetId="32">#REF!</definedName>
    <definedName name="____________cha5" localSheetId="35">#REF!</definedName>
    <definedName name="____________cha5" localSheetId="0">#REF!</definedName>
    <definedName name="____________cha5" localSheetId="13">#REF!</definedName>
    <definedName name="____________cha5">#REF!</definedName>
    <definedName name="____________cha6" localSheetId="33">#REF!</definedName>
    <definedName name="____________cha6" localSheetId="1">#REF!</definedName>
    <definedName name="____________cha6" localSheetId="19">#REF!</definedName>
    <definedName name="____________cha6" localSheetId="15">#REF!</definedName>
    <definedName name="____________cha6" localSheetId="32">#REF!</definedName>
    <definedName name="____________cha6" localSheetId="35">#REF!</definedName>
    <definedName name="____________cha6" localSheetId="0">#REF!</definedName>
    <definedName name="____________cha6" localSheetId="13">#REF!</definedName>
    <definedName name="____________cha6">#REF!</definedName>
    <definedName name="____________crc1">[1]combined!$B$176:$H$232</definedName>
    <definedName name="____________crc2">[1]combined!$B$236:$H$301</definedName>
    <definedName name="____________crc3">[1]combined!$B$329:$H$387</definedName>
    <definedName name="____________GRP1">'[2]BS 590'!$B$313:$G$386</definedName>
    <definedName name="____________GRP2">'[2]BS 590'!$B$388:$G$427</definedName>
    <definedName name="____________GRP3" localSheetId="33">'[4]BS&amp;PLA'!#REF!</definedName>
    <definedName name="____________GRP3" localSheetId="1">'[4]BS&amp;PLA'!#REF!</definedName>
    <definedName name="____________GRP3" localSheetId="19">'[4]BS&amp;PLA'!#REF!</definedName>
    <definedName name="____________GRP3" localSheetId="15">'[4]BS&amp;PLA'!#REF!</definedName>
    <definedName name="____________GRP3" localSheetId="34">'[4]BS&amp;PLA'!#REF!</definedName>
    <definedName name="____________GRP3" localSheetId="32">'[4]BS&amp;PLA'!#REF!</definedName>
    <definedName name="____________GRP3" localSheetId="35">'[4]BS&amp;PLA'!#REF!</definedName>
    <definedName name="____________GRP3" localSheetId="9">'[4]BS&amp;PLA'!#REF!</definedName>
    <definedName name="____________GRP3" localSheetId="0">'[4]BS&amp;PLA'!#REF!</definedName>
    <definedName name="____________GRP3" localSheetId="13">'[4]BS&amp;PLA'!#REF!</definedName>
    <definedName name="____________GRP3">'[4]BS&amp;PLA'!#REF!</definedName>
    <definedName name="____________GRP4" localSheetId="33">'[4]BS&amp;PLA'!#REF!</definedName>
    <definedName name="____________GRP4" localSheetId="1">'[4]BS&amp;PLA'!#REF!</definedName>
    <definedName name="____________GRP4" localSheetId="19">'[4]BS&amp;PLA'!#REF!</definedName>
    <definedName name="____________GRP4" localSheetId="15">'[4]BS&amp;PLA'!#REF!</definedName>
    <definedName name="____________GRP4" localSheetId="34">'[4]BS&amp;PLA'!#REF!</definedName>
    <definedName name="____________GRP4" localSheetId="35">'[4]BS&amp;PLA'!#REF!</definedName>
    <definedName name="____________GRP4" localSheetId="0">'[4]BS&amp;PLA'!#REF!</definedName>
    <definedName name="____________GRP4" localSheetId="13">'[4]BS&amp;PLA'!#REF!</definedName>
    <definedName name="____________GRP4">'[4]BS&amp;PLA'!#REF!</definedName>
    <definedName name="____________sch1">'[2]BS 590'!$B$125:$H$165</definedName>
    <definedName name="____________sch2">'[2]BS 590'!$B$166:$H$193</definedName>
    <definedName name="____________sch3">'[2]BS 590'!$B$194:$H$231</definedName>
    <definedName name="____________sch4">'[2]BS 590'!$B$233:$H$280</definedName>
    <definedName name="____________sch5">'[2]BS 590'!$B$281:$H$312</definedName>
    <definedName name="____________STK1" localSheetId="33">#REF!</definedName>
    <definedName name="____________STK1" localSheetId="1">#REF!</definedName>
    <definedName name="____________STK1" localSheetId="19">#REF!</definedName>
    <definedName name="____________STK1" localSheetId="15">#REF!</definedName>
    <definedName name="____________STK1" localSheetId="34">#REF!</definedName>
    <definedName name="____________STK1" localSheetId="32">#REF!</definedName>
    <definedName name="____________STK1" localSheetId="35">#REF!</definedName>
    <definedName name="____________STK1" localSheetId="0">#REF!</definedName>
    <definedName name="____________STK1" localSheetId="13">#REF!</definedName>
    <definedName name="____________STK1">#REF!</definedName>
    <definedName name="____________STK2" localSheetId="33">#REF!</definedName>
    <definedName name="____________STK2" localSheetId="1">#REF!</definedName>
    <definedName name="____________STK2" localSheetId="19">#REF!</definedName>
    <definedName name="____________STK2" localSheetId="15">#REF!</definedName>
    <definedName name="____________STK2" localSheetId="32">#REF!</definedName>
    <definedName name="____________STK2" localSheetId="35">#REF!</definedName>
    <definedName name="____________STK2" localSheetId="0">#REF!</definedName>
    <definedName name="____________STK2" localSheetId="13">#REF!</definedName>
    <definedName name="____________STK2">#REF!</definedName>
    <definedName name="____________STK3" localSheetId="33">#REF!</definedName>
    <definedName name="____________STK3" localSheetId="1">#REF!</definedName>
    <definedName name="____________STK3" localSheetId="19">#REF!</definedName>
    <definedName name="____________STK3" localSheetId="15">#REF!</definedName>
    <definedName name="____________STK3" localSheetId="32">#REF!</definedName>
    <definedName name="____________STK3" localSheetId="35">#REF!</definedName>
    <definedName name="____________STK3" localSheetId="0">#REF!</definedName>
    <definedName name="____________STK3" localSheetId="13">#REF!</definedName>
    <definedName name="____________STK3">#REF!</definedName>
    <definedName name="___________cha1" localSheetId="33">#REF!</definedName>
    <definedName name="___________cha1" localSheetId="1">#REF!</definedName>
    <definedName name="___________cha1" localSheetId="19">#REF!</definedName>
    <definedName name="___________cha1" localSheetId="15">#REF!</definedName>
    <definedName name="___________cha1" localSheetId="32">#REF!</definedName>
    <definedName name="___________cha1" localSheetId="35">#REF!</definedName>
    <definedName name="___________cha1" localSheetId="0">#REF!</definedName>
    <definedName name="___________cha1" localSheetId="13">#REF!</definedName>
    <definedName name="___________cha1">#REF!</definedName>
    <definedName name="___________cha2" localSheetId="33">#REF!</definedName>
    <definedName name="___________cha2" localSheetId="1">#REF!</definedName>
    <definedName name="___________cha2" localSheetId="19">#REF!</definedName>
    <definedName name="___________cha2" localSheetId="15">#REF!</definedName>
    <definedName name="___________cha2" localSheetId="32">#REF!</definedName>
    <definedName name="___________cha2" localSheetId="35">#REF!</definedName>
    <definedName name="___________cha2" localSheetId="0">#REF!</definedName>
    <definedName name="___________cha2" localSheetId="13">#REF!</definedName>
    <definedName name="___________cha2">#REF!</definedName>
    <definedName name="___________cha3" localSheetId="33">#REF!</definedName>
    <definedName name="___________cha3" localSheetId="1">#REF!</definedName>
    <definedName name="___________cha3" localSheetId="19">#REF!</definedName>
    <definedName name="___________cha3" localSheetId="15">#REF!</definedName>
    <definedName name="___________cha3" localSheetId="32">#REF!</definedName>
    <definedName name="___________cha3" localSheetId="35">#REF!</definedName>
    <definedName name="___________cha3" localSheetId="0">#REF!</definedName>
    <definedName name="___________cha3" localSheetId="13">#REF!</definedName>
    <definedName name="___________cha3">#REF!</definedName>
    <definedName name="___________cha4" localSheetId="33">#REF!</definedName>
    <definedName name="___________cha4" localSheetId="1">#REF!</definedName>
    <definedName name="___________cha4" localSheetId="19">#REF!</definedName>
    <definedName name="___________cha4" localSheetId="15">#REF!</definedName>
    <definedName name="___________cha4" localSheetId="32">#REF!</definedName>
    <definedName name="___________cha4" localSheetId="35">#REF!</definedName>
    <definedName name="___________cha4" localSheetId="0">#REF!</definedName>
    <definedName name="___________cha4" localSheetId="13">#REF!</definedName>
    <definedName name="___________cha4">#REF!</definedName>
    <definedName name="___________cha5" localSheetId="33">#REF!</definedName>
    <definedName name="___________cha5" localSheetId="1">#REF!</definedName>
    <definedName name="___________cha5" localSheetId="19">#REF!</definedName>
    <definedName name="___________cha5" localSheetId="15">#REF!</definedName>
    <definedName name="___________cha5" localSheetId="32">#REF!</definedName>
    <definedName name="___________cha5" localSheetId="35">#REF!</definedName>
    <definedName name="___________cha5" localSheetId="0">#REF!</definedName>
    <definedName name="___________cha5" localSheetId="13">#REF!</definedName>
    <definedName name="___________cha5">#REF!</definedName>
    <definedName name="___________cha6" localSheetId="33">#REF!</definedName>
    <definedName name="___________cha6" localSheetId="1">#REF!</definedName>
    <definedName name="___________cha6" localSheetId="19">#REF!</definedName>
    <definedName name="___________cha6" localSheetId="15">#REF!</definedName>
    <definedName name="___________cha6" localSheetId="32">#REF!</definedName>
    <definedName name="___________cha6" localSheetId="35">#REF!</definedName>
    <definedName name="___________cha6" localSheetId="0">#REF!</definedName>
    <definedName name="___________cha6" localSheetId="13">#REF!</definedName>
    <definedName name="___________cha6">#REF!</definedName>
    <definedName name="___________crc1">[1]combined!$B$176:$H$232</definedName>
    <definedName name="___________crc2">[1]combined!$B$236:$H$301</definedName>
    <definedName name="___________crc3">[1]combined!$B$329:$H$387</definedName>
    <definedName name="___________GRP1">'[2]BS 590'!$B$313:$G$386</definedName>
    <definedName name="___________GRP2">'[2]BS 590'!$B$388:$G$427</definedName>
    <definedName name="___________GRP3" localSheetId="33">'[4]BS&amp;PLA'!#REF!</definedName>
    <definedName name="___________GRP3" localSheetId="1">'[4]BS&amp;PLA'!#REF!</definedName>
    <definedName name="___________GRP3" localSheetId="19">'[4]BS&amp;PLA'!#REF!</definedName>
    <definedName name="___________GRP3" localSheetId="15">'[4]BS&amp;PLA'!#REF!</definedName>
    <definedName name="___________GRP3" localSheetId="34">'[4]BS&amp;PLA'!#REF!</definedName>
    <definedName name="___________GRP3" localSheetId="32">'[4]BS&amp;PLA'!#REF!</definedName>
    <definedName name="___________GRP3" localSheetId="35">'[4]BS&amp;PLA'!#REF!</definedName>
    <definedName name="___________GRP3" localSheetId="9">'[4]BS&amp;PLA'!#REF!</definedName>
    <definedName name="___________GRP3" localSheetId="0">'[4]BS&amp;PLA'!#REF!</definedName>
    <definedName name="___________GRP3" localSheetId="13">'[4]BS&amp;PLA'!#REF!</definedName>
    <definedName name="___________GRP3">'[4]BS&amp;PLA'!#REF!</definedName>
    <definedName name="___________GRP4" localSheetId="33">'[4]BS&amp;PLA'!#REF!</definedName>
    <definedName name="___________GRP4" localSheetId="1">'[4]BS&amp;PLA'!#REF!</definedName>
    <definedName name="___________GRP4" localSheetId="19">'[4]BS&amp;PLA'!#REF!</definedName>
    <definedName name="___________GRP4" localSheetId="15">'[4]BS&amp;PLA'!#REF!</definedName>
    <definedName name="___________GRP4" localSheetId="34">'[4]BS&amp;PLA'!#REF!</definedName>
    <definedName name="___________GRP4" localSheetId="35">'[4]BS&amp;PLA'!#REF!</definedName>
    <definedName name="___________GRP4" localSheetId="0">'[4]BS&amp;PLA'!#REF!</definedName>
    <definedName name="___________GRP4" localSheetId="13">'[4]BS&amp;PLA'!#REF!</definedName>
    <definedName name="___________GRP4">'[4]BS&amp;PLA'!#REF!</definedName>
    <definedName name="___________sch1">'[2]BS 590'!$B$125:$H$165</definedName>
    <definedName name="___________sch2">'[2]BS 590'!$B$166:$H$193</definedName>
    <definedName name="___________sch3">'[2]BS 590'!$B$194:$H$231</definedName>
    <definedName name="___________sch4">'[2]BS 590'!$B$233:$H$280</definedName>
    <definedName name="___________sch5">'[2]BS 590'!$B$281:$H$312</definedName>
    <definedName name="___________STK1" localSheetId="33">#REF!</definedName>
    <definedName name="___________STK1" localSheetId="1">#REF!</definedName>
    <definedName name="___________STK1" localSheetId="19">#REF!</definedName>
    <definedName name="___________STK1" localSheetId="15">#REF!</definedName>
    <definedName name="___________STK1" localSheetId="34">#REF!</definedName>
    <definedName name="___________STK1" localSheetId="32">#REF!</definedName>
    <definedName name="___________STK1" localSheetId="35">#REF!</definedName>
    <definedName name="___________STK1" localSheetId="0">#REF!</definedName>
    <definedName name="___________STK1" localSheetId="13">#REF!</definedName>
    <definedName name="___________STK1">#REF!</definedName>
    <definedName name="___________STK2" localSheetId="33">#REF!</definedName>
    <definedName name="___________STK2" localSheetId="1">#REF!</definedName>
    <definedName name="___________STK2" localSheetId="19">#REF!</definedName>
    <definedName name="___________STK2" localSheetId="15">#REF!</definedName>
    <definedName name="___________STK2" localSheetId="32">#REF!</definedName>
    <definedName name="___________STK2" localSheetId="35">#REF!</definedName>
    <definedName name="___________STK2" localSheetId="0">#REF!</definedName>
    <definedName name="___________STK2" localSheetId="13">#REF!</definedName>
    <definedName name="___________STK2">#REF!</definedName>
    <definedName name="___________STK3" localSheetId="33">#REF!</definedName>
    <definedName name="___________STK3" localSheetId="1">#REF!</definedName>
    <definedName name="___________STK3" localSheetId="19">#REF!</definedName>
    <definedName name="___________STK3" localSheetId="15">#REF!</definedName>
    <definedName name="___________STK3" localSheetId="32">#REF!</definedName>
    <definedName name="___________STK3" localSheetId="35">#REF!</definedName>
    <definedName name="___________STK3" localSheetId="0">#REF!</definedName>
    <definedName name="___________STK3" localSheetId="13">#REF!</definedName>
    <definedName name="___________STK3">#REF!</definedName>
    <definedName name="__________cha1" localSheetId="33">#REF!</definedName>
    <definedName name="__________cha1" localSheetId="1">#REF!</definedName>
    <definedName name="__________cha1" localSheetId="19">#REF!</definedName>
    <definedName name="__________cha1" localSheetId="15">#REF!</definedName>
    <definedName name="__________cha1" localSheetId="32">#REF!</definedName>
    <definedName name="__________cha1" localSheetId="35">#REF!</definedName>
    <definedName name="__________cha1" localSheetId="0">#REF!</definedName>
    <definedName name="__________cha1" localSheetId="13">#REF!</definedName>
    <definedName name="__________cha1">#REF!</definedName>
    <definedName name="__________cha2" localSheetId="33">#REF!</definedName>
    <definedName name="__________cha2" localSheetId="1">#REF!</definedName>
    <definedName name="__________cha2" localSheetId="19">#REF!</definedName>
    <definedName name="__________cha2" localSheetId="15">#REF!</definedName>
    <definedName name="__________cha2" localSheetId="32">#REF!</definedName>
    <definedName name="__________cha2" localSheetId="35">#REF!</definedName>
    <definedName name="__________cha2" localSheetId="0">#REF!</definedName>
    <definedName name="__________cha2" localSheetId="13">#REF!</definedName>
    <definedName name="__________cha2">#REF!</definedName>
    <definedName name="__________cha3" localSheetId="33">#REF!</definedName>
    <definedName name="__________cha3" localSheetId="1">#REF!</definedName>
    <definedName name="__________cha3" localSheetId="19">#REF!</definedName>
    <definedName name="__________cha3" localSheetId="15">#REF!</definedName>
    <definedName name="__________cha3" localSheetId="32">#REF!</definedName>
    <definedName name="__________cha3" localSheetId="35">#REF!</definedName>
    <definedName name="__________cha3" localSheetId="0">#REF!</definedName>
    <definedName name="__________cha3" localSheetId="13">#REF!</definedName>
    <definedName name="__________cha3">#REF!</definedName>
    <definedName name="__________cha4" localSheetId="33">#REF!</definedName>
    <definedName name="__________cha4" localSheetId="1">#REF!</definedName>
    <definedName name="__________cha4" localSheetId="19">#REF!</definedName>
    <definedName name="__________cha4" localSheetId="15">#REF!</definedName>
    <definedName name="__________cha4" localSheetId="32">#REF!</definedName>
    <definedName name="__________cha4" localSheetId="35">#REF!</definedName>
    <definedName name="__________cha4" localSheetId="0">#REF!</definedName>
    <definedName name="__________cha4" localSheetId="13">#REF!</definedName>
    <definedName name="__________cha4">#REF!</definedName>
    <definedName name="__________cha5" localSheetId="33">#REF!</definedName>
    <definedName name="__________cha5" localSheetId="1">#REF!</definedName>
    <definedName name="__________cha5" localSheetId="19">#REF!</definedName>
    <definedName name="__________cha5" localSheetId="15">#REF!</definedName>
    <definedName name="__________cha5" localSheetId="32">#REF!</definedName>
    <definedName name="__________cha5" localSheetId="35">#REF!</definedName>
    <definedName name="__________cha5" localSheetId="0">#REF!</definedName>
    <definedName name="__________cha5" localSheetId="13">#REF!</definedName>
    <definedName name="__________cha5">#REF!</definedName>
    <definedName name="__________cha6" localSheetId="33">#REF!</definedName>
    <definedName name="__________cha6" localSheetId="1">#REF!</definedName>
    <definedName name="__________cha6" localSheetId="19">#REF!</definedName>
    <definedName name="__________cha6" localSheetId="15">#REF!</definedName>
    <definedName name="__________cha6" localSheetId="32">#REF!</definedName>
    <definedName name="__________cha6" localSheetId="35">#REF!</definedName>
    <definedName name="__________cha6" localSheetId="0">#REF!</definedName>
    <definedName name="__________cha6" localSheetId="13">#REF!</definedName>
    <definedName name="__________cha6">#REF!</definedName>
    <definedName name="__________crc1">[1]combined!$B$176:$H$232</definedName>
    <definedName name="__________crc2">[1]combined!$B$236:$H$301</definedName>
    <definedName name="__________crc3">[1]combined!$B$329:$H$387</definedName>
    <definedName name="__________GRP1">'[2]BS 590'!$B$313:$G$386</definedName>
    <definedName name="__________GRP2">'[2]BS 590'!$B$388:$G$427</definedName>
    <definedName name="__________GRP3" localSheetId="33">'[4]BS&amp;PLA'!#REF!</definedName>
    <definedName name="__________GRP3" localSheetId="1">'[4]BS&amp;PLA'!#REF!</definedName>
    <definedName name="__________GRP3" localSheetId="19">'[4]BS&amp;PLA'!#REF!</definedName>
    <definedName name="__________GRP3" localSheetId="15">'[4]BS&amp;PLA'!#REF!</definedName>
    <definedName name="__________GRP3" localSheetId="34">'[4]BS&amp;PLA'!#REF!</definedName>
    <definedName name="__________GRP3" localSheetId="32">'[4]BS&amp;PLA'!#REF!</definedName>
    <definedName name="__________GRP3" localSheetId="35">'[4]BS&amp;PLA'!#REF!</definedName>
    <definedName name="__________GRP3" localSheetId="9">'[4]BS&amp;PLA'!#REF!</definedName>
    <definedName name="__________GRP3" localSheetId="0">'[4]BS&amp;PLA'!#REF!</definedName>
    <definedName name="__________GRP3" localSheetId="13">'[4]BS&amp;PLA'!#REF!</definedName>
    <definedName name="__________GRP3">'[4]BS&amp;PLA'!#REF!</definedName>
    <definedName name="__________GRP4" localSheetId="33">'[4]BS&amp;PLA'!#REF!</definedName>
    <definedName name="__________GRP4" localSheetId="1">'[4]BS&amp;PLA'!#REF!</definedName>
    <definedName name="__________GRP4" localSheetId="19">'[4]BS&amp;PLA'!#REF!</definedName>
    <definedName name="__________GRP4" localSheetId="15">'[4]BS&amp;PLA'!#REF!</definedName>
    <definedName name="__________GRP4" localSheetId="34">'[4]BS&amp;PLA'!#REF!</definedName>
    <definedName name="__________GRP4" localSheetId="35">'[4]BS&amp;PLA'!#REF!</definedName>
    <definedName name="__________GRP4" localSheetId="0">'[4]BS&amp;PLA'!#REF!</definedName>
    <definedName name="__________GRP4" localSheetId="13">'[4]BS&amp;PLA'!#REF!</definedName>
    <definedName name="__________GRP4">'[4]BS&amp;PLA'!#REF!</definedName>
    <definedName name="__________sch1">'[2]BS 590'!$B$125:$H$165</definedName>
    <definedName name="__________sch2">'[2]BS 590'!$B$166:$H$193</definedName>
    <definedName name="__________sch3">'[2]BS 590'!$B$194:$H$231</definedName>
    <definedName name="__________sch4">'[2]BS 590'!$B$233:$H$280</definedName>
    <definedName name="__________sch5">'[2]BS 590'!$B$281:$H$312</definedName>
    <definedName name="__________STK1" localSheetId="33">#REF!</definedName>
    <definedName name="__________STK1" localSheetId="1">#REF!</definedName>
    <definedName name="__________STK1" localSheetId="19">#REF!</definedName>
    <definedName name="__________STK1" localSheetId="15">#REF!</definedName>
    <definedName name="__________STK1" localSheetId="34">#REF!</definedName>
    <definedName name="__________STK1" localSheetId="32">#REF!</definedName>
    <definedName name="__________STK1" localSheetId="35">#REF!</definedName>
    <definedName name="__________STK1" localSheetId="0">#REF!</definedName>
    <definedName name="__________STK1" localSheetId="13">#REF!</definedName>
    <definedName name="__________STK1">#REF!</definedName>
    <definedName name="__________STK2" localSheetId="33">#REF!</definedName>
    <definedName name="__________STK2" localSheetId="1">#REF!</definedName>
    <definedName name="__________STK2" localSheetId="19">#REF!</definedName>
    <definedName name="__________STK2" localSheetId="15">#REF!</definedName>
    <definedName name="__________STK2" localSheetId="32">#REF!</definedName>
    <definedName name="__________STK2" localSheetId="35">#REF!</definedName>
    <definedName name="__________STK2" localSheetId="0">#REF!</definedName>
    <definedName name="__________STK2" localSheetId="13">#REF!</definedName>
    <definedName name="__________STK2">#REF!</definedName>
    <definedName name="__________STK3" localSheetId="33">#REF!</definedName>
    <definedName name="__________STK3" localSheetId="1">#REF!</definedName>
    <definedName name="__________STK3" localSheetId="19">#REF!</definedName>
    <definedName name="__________STK3" localSheetId="15">#REF!</definedName>
    <definedName name="__________STK3" localSheetId="32">#REF!</definedName>
    <definedName name="__________STK3" localSheetId="35">#REF!</definedName>
    <definedName name="__________STK3" localSheetId="0">#REF!</definedName>
    <definedName name="__________STK3" localSheetId="13">#REF!</definedName>
    <definedName name="__________STK3">#REF!</definedName>
    <definedName name="_________cha1" localSheetId="33">#REF!</definedName>
    <definedName name="_________cha1" localSheetId="1">#REF!</definedName>
    <definedName name="_________cha1" localSheetId="19">#REF!</definedName>
    <definedName name="_________cha1" localSheetId="15">#REF!</definedName>
    <definedName name="_________cha1" localSheetId="32">#REF!</definedName>
    <definedName name="_________cha1" localSheetId="35">#REF!</definedName>
    <definedName name="_________cha1" localSheetId="0">#REF!</definedName>
    <definedName name="_________cha1" localSheetId="13">#REF!</definedName>
    <definedName name="_________cha1">#REF!</definedName>
    <definedName name="_________cha2" localSheetId="33">#REF!</definedName>
    <definedName name="_________cha2" localSheetId="1">#REF!</definedName>
    <definedName name="_________cha2" localSheetId="19">#REF!</definedName>
    <definedName name="_________cha2" localSheetId="15">#REF!</definedName>
    <definedName name="_________cha2" localSheetId="32">#REF!</definedName>
    <definedName name="_________cha2" localSheetId="35">#REF!</definedName>
    <definedName name="_________cha2" localSheetId="0">#REF!</definedName>
    <definedName name="_________cha2" localSheetId="13">#REF!</definedName>
    <definedName name="_________cha2">#REF!</definedName>
    <definedName name="_________cha3" localSheetId="33">#REF!</definedName>
    <definedName name="_________cha3" localSheetId="1">#REF!</definedName>
    <definedName name="_________cha3" localSheetId="19">#REF!</definedName>
    <definedName name="_________cha3" localSheetId="15">#REF!</definedName>
    <definedName name="_________cha3" localSheetId="32">#REF!</definedName>
    <definedName name="_________cha3" localSheetId="35">#REF!</definedName>
    <definedName name="_________cha3" localSheetId="0">#REF!</definedName>
    <definedName name="_________cha3" localSheetId="13">#REF!</definedName>
    <definedName name="_________cha3">#REF!</definedName>
    <definedName name="_________cha4" localSheetId="33">#REF!</definedName>
    <definedName name="_________cha4" localSheetId="1">#REF!</definedName>
    <definedName name="_________cha4" localSheetId="19">#REF!</definedName>
    <definedName name="_________cha4" localSheetId="15">#REF!</definedName>
    <definedName name="_________cha4" localSheetId="32">#REF!</definedName>
    <definedName name="_________cha4" localSheetId="35">#REF!</definedName>
    <definedName name="_________cha4" localSheetId="0">#REF!</definedName>
    <definedName name="_________cha4" localSheetId="13">#REF!</definedName>
    <definedName name="_________cha4">#REF!</definedName>
    <definedName name="_________cha5" localSheetId="33">#REF!</definedName>
    <definedName name="_________cha5" localSheetId="1">#REF!</definedName>
    <definedName name="_________cha5" localSheetId="19">#REF!</definedName>
    <definedName name="_________cha5" localSheetId="15">#REF!</definedName>
    <definedName name="_________cha5" localSheetId="32">#REF!</definedName>
    <definedName name="_________cha5" localSheetId="35">#REF!</definedName>
    <definedName name="_________cha5" localSheetId="0">#REF!</definedName>
    <definedName name="_________cha5" localSheetId="13">#REF!</definedName>
    <definedName name="_________cha5">#REF!</definedName>
    <definedName name="_________cha6" localSheetId="33">#REF!</definedName>
    <definedName name="_________cha6" localSheetId="1">#REF!</definedName>
    <definedName name="_________cha6" localSheetId="19">#REF!</definedName>
    <definedName name="_________cha6" localSheetId="15">#REF!</definedName>
    <definedName name="_________cha6" localSheetId="32">#REF!</definedName>
    <definedName name="_________cha6" localSheetId="35">#REF!</definedName>
    <definedName name="_________cha6" localSheetId="0">#REF!</definedName>
    <definedName name="_________cha6" localSheetId="13">#REF!</definedName>
    <definedName name="_________cha6">#REF!</definedName>
    <definedName name="_________crc1">[1]combined!$B$176:$H$232</definedName>
    <definedName name="_________crc2">[1]combined!$B$236:$H$301</definedName>
    <definedName name="_________crc3">[1]combined!$B$329:$H$387</definedName>
    <definedName name="_________GRP1">'[2]BS 590'!$B$313:$G$386</definedName>
    <definedName name="_________GRP2">'[2]BS 590'!$B$388:$G$427</definedName>
    <definedName name="_________GRP3" localSheetId="33">'[4]BS&amp;PLA'!#REF!</definedName>
    <definedName name="_________GRP3" localSheetId="1">'[4]BS&amp;PLA'!#REF!</definedName>
    <definedName name="_________GRP3" localSheetId="19">'[4]BS&amp;PLA'!#REF!</definedName>
    <definedName name="_________GRP3" localSheetId="15">'[4]BS&amp;PLA'!#REF!</definedName>
    <definedName name="_________GRP3" localSheetId="34">'[4]BS&amp;PLA'!#REF!</definedName>
    <definedName name="_________GRP3" localSheetId="32">'[4]BS&amp;PLA'!#REF!</definedName>
    <definedName name="_________GRP3" localSheetId="35">'[4]BS&amp;PLA'!#REF!</definedName>
    <definedName name="_________GRP3" localSheetId="9">'[4]BS&amp;PLA'!#REF!</definedName>
    <definedName name="_________GRP3" localSheetId="0">'[4]BS&amp;PLA'!#REF!</definedName>
    <definedName name="_________GRP3" localSheetId="13">'[4]BS&amp;PLA'!#REF!</definedName>
    <definedName name="_________GRP3">'[4]BS&amp;PLA'!#REF!</definedName>
    <definedName name="_________GRP4" localSheetId="33">'[4]BS&amp;PLA'!#REF!</definedName>
    <definedName name="_________GRP4" localSheetId="1">'[4]BS&amp;PLA'!#REF!</definedName>
    <definedName name="_________GRP4" localSheetId="19">'[4]BS&amp;PLA'!#REF!</definedName>
    <definedName name="_________GRP4" localSheetId="15">'[4]BS&amp;PLA'!#REF!</definedName>
    <definedName name="_________GRP4" localSheetId="34">'[4]BS&amp;PLA'!#REF!</definedName>
    <definedName name="_________GRP4" localSheetId="35">'[4]BS&amp;PLA'!#REF!</definedName>
    <definedName name="_________GRP4" localSheetId="0">'[4]BS&amp;PLA'!#REF!</definedName>
    <definedName name="_________GRP4" localSheetId="13">'[4]BS&amp;PLA'!#REF!</definedName>
    <definedName name="_________GRP4">'[4]BS&amp;PLA'!#REF!</definedName>
    <definedName name="_________sch1">'[2]BS 590'!$B$125:$H$165</definedName>
    <definedName name="_________sch2">'[2]BS 590'!$B$166:$H$193</definedName>
    <definedName name="_________sch3">'[2]BS 590'!$B$194:$H$231</definedName>
    <definedName name="_________sch4">'[2]BS 590'!$B$233:$H$280</definedName>
    <definedName name="_________sch5">'[2]BS 590'!$B$281:$H$312</definedName>
    <definedName name="_________STK1" localSheetId="33">#REF!</definedName>
    <definedName name="_________STK1" localSheetId="1">#REF!</definedName>
    <definedName name="_________STK1" localSheetId="19">#REF!</definedName>
    <definedName name="_________STK1" localSheetId="15">#REF!</definedName>
    <definedName name="_________STK1" localSheetId="34">#REF!</definedName>
    <definedName name="_________STK1" localSheetId="32">#REF!</definedName>
    <definedName name="_________STK1" localSheetId="35">#REF!</definedName>
    <definedName name="_________STK1" localSheetId="0">#REF!</definedName>
    <definedName name="_________STK1" localSheetId="13">#REF!</definedName>
    <definedName name="_________STK1">#REF!</definedName>
    <definedName name="_________STK2" localSheetId="33">#REF!</definedName>
    <definedName name="_________STK2" localSheetId="1">#REF!</definedName>
    <definedName name="_________STK2" localSheetId="19">#REF!</definedName>
    <definedName name="_________STK2" localSheetId="15">#REF!</definedName>
    <definedName name="_________STK2" localSheetId="32">#REF!</definedName>
    <definedName name="_________STK2" localSheetId="35">#REF!</definedName>
    <definedName name="_________STK2" localSheetId="0">#REF!</definedName>
    <definedName name="_________STK2" localSheetId="13">#REF!</definedName>
    <definedName name="_________STK2">#REF!</definedName>
    <definedName name="_________STK3" localSheetId="33">#REF!</definedName>
    <definedName name="_________STK3" localSheetId="1">#REF!</definedName>
    <definedName name="_________STK3" localSheetId="19">#REF!</definedName>
    <definedName name="_________STK3" localSheetId="15">#REF!</definedName>
    <definedName name="_________STK3" localSheetId="32">#REF!</definedName>
    <definedName name="_________STK3" localSheetId="35">#REF!</definedName>
    <definedName name="_________STK3" localSheetId="0">#REF!</definedName>
    <definedName name="_________STK3" localSheetId="13">#REF!</definedName>
    <definedName name="_________STK3">#REF!</definedName>
    <definedName name="________cha1" localSheetId="33">#REF!</definedName>
    <definedName name="________cha1" localSheetId="1">#REF!</definedName>
    <definedName name="________cha1" localSheetId="19">#REF!</definedName>
    <definedName name="________cha1" localSheetId="15">#REF!</definedName>
    <definedName name="________cha1" localSheetId="32">#REF!</definedName>
    <definedName name="________cha1" localSheetId="35">#REF!</definedName>
    <definedName name="________cha1" localSheetId="0">#REF!</definedName>
    <definedName name="________cha1" localSheetId="13">#REF!</definedName>
    <definedName name="________cha1">#REF!</definedName>
    <definedName name="________cha2" localSheetId="33">#REF!</definedName>
    <definedName name="________cha2" localSheetId="1">#REF!</definedName>
    <definedName name="________cha2" localSheetId="19">#REF!</definedName>
    <definedName name="________cha2" localSheetId="15">#REF!</definedName>
    <definedName name="________cha2" localSheetId="32">#REF!</definedName>
    <definedName name="________cha2" localSheetId="35">#REF!</definedName>
    <definedName name="________cha2" localSheetId="0">#REF!</definedName>
    <definedName name="________cha2" localSheetId="13">#REF!</definedName>
    <definedName name="________cha2">#REF!</definedName>
    <definedName name="________cha3" localSheetId="33">#REF!</definedName>
    <definedName name="________cha3" localSheetId="1">#REF!</definedName>
    <definedName name="________cha3" localSheetId="19">#REF!</definedName>
    <definedName name="________cha3" localSheetId="15">#REF!</definedName>
    <definedName name="________cha3" localSheetId="32">#REF!</definedName>
    <definedName name="________cha3" localSheetId="35">#REF!</definedName>
    <definedName name="________cha3" localSheetId="0">#REF!</definedName>
    <definedName name="________cha3" localSheetId="13">#REF!</definedName>
    <definedName name="________cha3">#REF!</definedName>
    <definedName name="________cha4" localSheetId="33">#REF!</definedName>
    <definedName name="________cha4" localSheetId="1">#REF!</definedName>
    <definedName name="________cha4" localSheetId="19">#REF!</definedName>
    <definedName name="________cha4" localSheetId="15">#REF!</definedName>
    <definedName name="________cha4" localSheetId="32">#REF!</definedName>
    <definedName name="________cha4" localSheetId="35">#REF!</definedName>
    <definedName name="________cha4" localSheetId="0">#REF!</definedName>
    <definedName name="________cha4" localSheetId="13">#REF!</definedName>
    <definedName name="________cha4">#REF!</definedName>
    <definedName name="________cha5" localSheetId="33">#REF!</definedName>
    <definedName name="________cha5" localSheetId="1">#REF!</definedName>
    <definedName name="________cha5" localSheetId="19">#REF!</definedName>
    <definedName name="________cha5" localSheetId="15">#REF!</definedName>
    <definedName name="________cha5" localSheetId="32">#REF!</definedName>
    <definedName name="________cha5" localSheetId="35">#REF!</definedName>
    <definedName name="________cha5" localSheetId="0">#REF!</definedName>
    <definedName name="________cha5" localSheetId="13">#REF!</definedName>
    <definedName name="________cha5">#REF!</definedName>
    <definedName name="________cha6" localSheetId="33">#REF!</definedName>
    <definedName name="________cha6" localSheetId="1">#REF!</definedName>
    <definedName name="________cha6" localSheetId="19">#REF!</definedName>
    <definedName name="________cha6" localSheetId="15">#REF!</definedName>
    <definedName name="________cha6" localSheetId="32">#REF!</definedName>
    <definedName name="________cha6" localSheetId="35">#REF!</definedName>
    <definedName name="________cha6" localSheetId="0">#REF!</definedName>
    <definedName name="________cha6" localSheetId="13">#REF!</definedName>
    <definedName name="________cha6">#REF!</definedName>
    <definedName name="________crc1">[1]combined!$B$176:$H$232</definedName>
    <definedName name="________crc2">[1]combined!$B$236:$H$301</definedName>
    <definedName name="________crc3">[1]combined!$B$329:$H$387</definedName>
    <definedName name="________GRP1">'[2]BS 590'!$B$313:$G$386</definedName>
    <definedName name="________GRP2" localSheetId="33">'[3]BS&amp;PLA'!#REF!</definedName>
    <definedName name="________GRP2" localSheetId="1">'[3]BS&amp;PLA'!#REF!</definedName>
    <definedName name="________GRP2" localSheetId="19">'[3]BS&amp;PLA'!#REF!</definedName>
    <definedName name="________GRP2" localSheetId="15">'[3]BS&amp;PLA'!#REF!</definedName>
    <definedName name="________GRP2" localSheetId="34">'[3]BS&amp;PLA'!#REF!</definedName>
    <definedName name="________GRP2" localSheetId="32">'[3]BS&amp;PLA'!#REF!</definedName>
    <definedName name="________GRP2" localSheetId="35">'[3]BS&amp;PLA'!#REF!</definedName>
    <definedName name="________GRP2" localSheetId="9">'[3]BS&amp;PLA'!#REF!</definedName>
    <definedName name="________GRP2" localSheetId="0">'[3]BS&amp;PLA'!#REF!</definedName>
    <definedName name="________GRP2" localSheetId="13">'[3]BS&amp;PLA'!#REF!</definedName>
    <definedName name="________GRP2">'[3]BS&amp;PLA'!#REF!</definedName>
    <definedName name="________GRP3" localSheetId="33">'[3]BS&amp;PLA'!#REF!</definedName>
    <definedName name="________GRP3" localSheetId="1">'[3]BS&amp;PLA'!#REF!</definedName>
    <definedName name="________GRP3" localSheetId="19">'[3]BS&amp;PLA'!#REF!</definedName>
    <definedName name="________GRP3" localSheetId="15">'[3]BS&amp;PLA'!#REF!</definedName>
    <definedName name="________GRP3" localSheetId="34">'[3]BS&amp;PLA'!#REF!</definedName>
    <definedName name="________GRP3" localSheetId="35">'[3]BS&amp;PLA'!#REF!</definedName>
    <definedName name="________GRP3" localSheetId="0">'[3]BS&amp;PLA'!#REF!</definedName>
    <definedName name="________GRP3" localSheetId="13">'[3]BS&amp;PLA'!#REF!</definedName>
    <definedName name="________GRP3">'[3]BS&amp;PLA'!#REF!</definedName>
    <definedName name="________GRP4" localSheetId="33">'[3]BS&amp;PLA'!#REF!</definedName>
    <definedName name="________GRP4" localSheetId="1">'[3]BS&amp;PLA'!#REF!</definedName>
    <definedName name="________GRP4" localSheetId="19">'[3]BS&amp;PLA'!#REF!</definedName>
    <definedName name="________GRP4" localSheetId="15">'[3]BS&amp;PLA'!#REF!</definedName>
    <definedName name="________GRP4" localSheetId="35">'[3]BS&amp;PLA'!#REF!</definedName>
    <definedName name="________GRP4" localSheetId="0">'[3]BS&amp;PLA'!#REF!</definedName>
    <definedName name="________GRP4" localSheetId="13">'[3]BS&amp;PLA'!#REF!</definedName>
    <definedName name="________GRP4">'[3]BS&amp;PLA'!#REF!</definedName>
    <definedName name="________sch1">'[2]BS 590'!$B$125:$H$165</definedName>
    <definedName name="________sch2">'[2]BS 590'!$B$166:$H$193</definedName>
    <definedName name="________sch3">'[2]BS 590'!$B$194:$H$231</definedName>
    <definedName name="________sch4">'[2]BS 590'!$B$233:$H$280</definedName>
    <definedName name="________sch5">'[2]BS 590'!$B$281:$H$312</definedName>
    <definedName name="________STK1" localSheetId="33">#REF!</definedName>
    <definedName name="________STK1" localSheetId="1">#REF!</definedName>
    <definedName name="________STK1" localSheetId="19">#REF!</definedName>
    <definedName name="________STK1" localSheetId="15">#REF!</definedName>
    <definedName name="________STK1" localSheetId="34">#REF!</definedName>
    <definedName name="________STK1" localSheetId="32">#REF!</definedName>
    <definedName name="________STK1" localSheetId="35">#REF!</definedName>
    <definedName name="________STK1" localSheetId="0">#REF!</definedName>
    <definedName name="________STK1" localSheetId="13">#REF!</definedName>
    <definedName name="________STK1">#REF!</definedName>
    <definedName name="________STK2" localSheetId="33">#REF!</definedName>
    <definedName name="________STK2" localSheetId="1">#REF!</definedName>
    <definedName name="________STK2" localSheetId="19">#REF!</definedName>
    <definedName name="________STK2" localSheetId="15">#REF!</definedName>
    <definedName name="________STK2" localSheetId="32">#REF!</definedName>
    <definedName name="________STK2" localSheetId="35">#REF!</definedName>
    <definedName name="________STK2" localSheetId="0">#REF!</definedName>
    <definedName name="________STK2" localSheetId="13">#REF!</definedName>
    <definedName name="________STK2">#REF!</definedName>
    <definedName name="________STK3" localSheetId="33">#REF!</definedName>
    <definedName name="________STK3" localSheetId="1">#REF!</definedName>
    <definedName name="________STK3" localSheetId="19">#REF!</definedName>
    <definedName name="________STK3" localSheetId="15">#REF!</definedName>
    <definedName name="________STK3" localSheetId="32">#REF!</definedName>
    <definedName name="________STK3" localSheetId="35">#REF!</definedName>
    <definedName name="________STK3" localSheetId="0">#REF!</definedName>
    <definedName name="________STK3" localSheetId="13">#REF!</definedName>
    <definedName name="________STK3">#REF!</definedName>
    <definedName name="_______cha1" localSheetId="33">#REF!</definedName>
    <definedName name="_______cha1" localSheetId="1">#REF!</definedName>
    <definedName name="_______cha1" localSheetId="19">#REF!</definedName>
    <definedName name="_______cha1" localSheetId="15">#REF!</definedName>
    <definedName name="_______cha1" localSheetId="32">#REF!</definedName>
    <definedName name="_______cha1" localSheetId="35">#REF!</definedName>
    <definedName name="_______cha1" localSheetId="0">#REF!</definedName>
    <definedName name="_______cha1" localSheetId="13">#REF!</definedName>
    <definedName name="_______cha1">#REF!</definedName>
    <definedName name="_______cha2" localSheetId="33">#REF!</definedName>
    <definedName name="_______cha2" localSheetId="1">#REF!</definedName>
    <definedName name="_______cha2" localSheetId="19">#REF!</definedName>
    <definedName name="_______cha2" localSheetId="15">#REF!</definedName>
    <definedName name="_______cha2" localSheetId="32">#REF!</definedName>
    <definedName name="_______cha2" localSheetId="35">#REF!</definedName>
    <definedName name="_______cha2" localSheetId="0">#REF!</definedName>
    <definedName name="_______cha2" localSheetId="13">#REF!</definedName>
    <definedName name="_______cha2">#REF!</definedName>
    <definedName name="_______cha3" localSheetId="33">#REF!</definedName>
    <definedName name="_______cha3" localSheetId="1">#REF!</definedName>
    <definedName name="_______cha3" localSheetId="19">#REF!</definedName>
    <definedName name="_______cha3" localSheetId="15">#REF!</definedName>
    <definedName name="_______cha3" localSheetId="32">#REF!</definedName>
    <definedName name="_______cha3" localSheetId="35">#REF!</definedName>
    <definedName name="_______cha3" localSheetId="0">#REF!</definedName>
    <definedName name="_______cha3" localSheetId="13">#REF!</definedName>
    <definedName name="_______cha3">#REF!</definedName>
    <definedName name="_______cha4" localSheetId="33">#REF!</definedName>
    <definedName name="_______cha4" localSheetId="1">#REF!</definedName>
    <definedName name="_______cha4" localSheetId="19">#REF!</definedName>
    <definedName name="_______cha4" localSheetId="15">#REF!</definedName>
    <definedName name="_______cha4" localSheetId="32">#REF!</definedName>
    <definedName name="_______cha4" localSheetId="35">#REF!</definedName>
    <definedName name="_______cha4" localSheetId="0">#REF!</definedName>
    <definedName name="_______cha4" localSheetId="13">#REF!</definedName>
    <definedName name="_______cha4">#REF!</definedName>
    <definedName name="_______cha5" localSheetId="33">#REF!</definedName>
    <definedName name="_______cha5" localSheetId="1">#REF!</definedName>
    <definedName name="_______cha5" localSheetId="19">#REF!</definedName>
    <definedName name="_______cha5" localSheetId="15">#REF!</definedName>
    <definedName name="_______cha5" localSheetId="32">#REF!</definedName>
    <definedName name="_______cha5" localSheetId="35">#REF!</definedName>
    <definedName name="_______cha5" localSheetId="0">#REF!</definedName>
    <definedName name="_______cha5" localSheetId="13">#REF!</definedName>
    <definedName name="_______cha5">#REF!</definedName>
    <definedName name="_______cha6" localSheetId="33">#REF!</definedName>
    <definedName name="_______cha6" localSheetId="1">#REF!</definedName>
    <definedName name="_______cha6" localSheetId="19">#REF!</definedName>
    <definedName name="_______cha6" localSheetId="15">#REF!</definedName>
    <definedName name="_______cha6" localSheetId="32">#REF!</definedName>
    <definedName name="_______cha6" localSheetId="35">#REF!</definedName>
    <definedName name="_______cha6" localSheetId="0">#REF!</definedName>
    <definedName name="_______cha6" localSheetId="13">#REF!</definedName>
    <definedName name="_______cha6">#REF!</definedName>
    <definedName name="_______crc1">[1]combined!$B$176:$H$232</definedName>
    <definedName name="_______crc2">[1]combined!$B$236:$H$301</definedName>
    <definedName name="_______crc3">[1]combined!$B$329:$H$387</definedName>
    <definedName name="_______GRP1">'[2]BS 590'!$B$313:$G$386</definedName>
    <definedName name="_______GRP2">'[2]BS 590'!$B$388:$G$427</definedName>
    <definedName name="_______GRP3" localSheetId="33">'[4]BS&amp;PLA'!#REF!</definedName>
    <definedName name="_______GRP3" localSheetId="1">'[4]BS&amp;PLA'!#REF!</definedName>
    <definedName name="_______GRP3" localSheetId="19">'[4]BS&amp;PLA'!#REF!</definedName>
    <definedName name="_______GRP3" localSheetId="15">'[4]BS&amp;PLA'!#REF!</definedName>
    <definedName name="_______GRP3" localSheetId="34">'[4]BS&amp;PLA'!#REF!</definedName>
    <definedName name="_______GRP3" localSheetId="32">'[4]BS&amp;PLA'!#REF!</definedName>
    <definedName name="_______GRP3" localSheetId="35">'[4]BS&amp;PLA'!#REF!</definedName>
    <definedName name="_______GRP3" localSheetId="9">'[4]BS&amp;PLA'!#REF!</definedName>
    <definedName name="_______GRP3" localSheetId="0">'[4]BS&amp;PLA'!#REF!</definedName>
    <definedName name="_______GRP3" localSheetId="13">'[4]BS&amp;PLA'!#REF!</definedName>
    <definedName name="_______GRP3">'[4]BS&amp;PLA'!#REF!</definedName>
    <definedName name="_______GRP4" localSheetId="33">'[4]BS&amp;PLA'!#REF!</definedName>
    <definedName name="_______GRP4" localSheetId="1">'[4]BS&amp;PLA'!#REF!</definedName>
    <definedName name="_______GRP4" localSheetId="19">'[4]BS&amp;PLA'!#REF!</definedName>
    <definedName name="_______GRP4" localSheetId="15">'[4]BS&amp;PLA'!#REF!</definedName>
    <definedName name="_______GRP4" localSheetId="34">'[4]BS&amp;PLA'!#REF!</definedName>
    <definedName name="_______GRP4" localSheetId="35">'[4]BS&amp;PLA'!#REF!</definedName>
    <definedName name="_______GRP4" localSheetId="0">'[4]BS&amp;PLA'!#REF!</definedName>
    <definedName name="_______GRP4" localSheetId="13">'[4]BS&amp;PLA'!#REF!</definedName>
    <definedName name="_______GRP4">'[4]BS&amp;PLA'!#REF!</definedName>
    <definedName name="_______sch1">'[2]BS 590'!$B$125:$H$165</definedName>
    <definedName name="_______sch2">'[2]BS 590'!$B$166:$H$193</definedName>
    <definedName name="_______sch3">'[2]BS 590'!$B$194:$H$231</definedName>
    <definedName name="_______sch4">'[2]BS 590'!$B$233:$H$280</definedName>
    <definedName name="_______sch5">'[2]BS 590'!$B$281:$H$312</definedName>
    <definedName name="_______STK1" localSheetId="33">#REF!</definedName>
    <definedName name="_______STK1" localSheetId="1">#REF!</definedName>
    <definedName name="_______STK1" localSheetId="19">#REF!</definedName>
    <definedName name="_______STK1" localSheetId="15">#REF!</definedName>
    <definedName name="_______STK1" localSheetId="34">#REF!</definedName>
    <definedName name="_______STK1" localSheetId="32">#REF!</definedName>
    <definedName name="_______STK1" localSheetId="35">#REF!</definedName>
    <definedName name="_______STK1" localSheetId="0">#REF!</definedName>
    <definedName name="_______STK1" localSheetId="13">#REF!</definedName>
    <definedName name="_______STK1">#REF!</definedName>
    <definedName name="_______STK2" localSheetId="33">#REF!</definedName>
    <definedName name="_______STK2" localSheetId="1">#REF!</definedName>
    <definedName name="_______STK2" localSheetId="19">#REF!</definedName>
    <definedName name="_______STK2" localSheetId="15">#REF!</definedName>
    <definedName name="_______STK2" localSheetId="32">#REF!</definedName>
    <definedName name="_______STK2" localSheetId="35">#REF!</definedName>
    <definedName name="_______STK2" localSheetId="0">#REF!</definedName>
    <definedName name="_______STK2" localSheetId="13">#REF!</definedName>
    <definedName name="_______STK2">#REF!</definedName>
    <definedName name="_______STK3" localSheetId="33">#REF!</definedName>
    <definedName name="_______STK3" localSheetId="1">#REF!</definedName>
    <definedName name="_______STK3" localSheetId="19">#REF!</definedName>
    <definedName name="_______STK3" localSheetId="15">#REF!</definedName>
    <definedName name="_______STK3" localSheetId="32">#REF!</definedName>
    <definedName name="_______STK3" localSheetId="35">#REF!</definedName>
    <definedName name="_______STK3" localSheetId="0">#REF!</definedName>
    <definedName name="_______STK3" localSheetId="13">#REF!</definedName>
    <definedName name="_______STK3">#REF!</definedName>
    <definedName name="______cha1" localSheetId="33">#REF!</definedName>
    <definedName name="______cha1" localSheetId="1">#REF!</definedName>
    <definedName name="______cha1" localSheetId="19">#REF!</definedName>
    <definedName name="______cha1" localSheetId="15">#REF!</definedName>
    <definedName name="______cha1" localSheetId="32">#REF!</definedName>
    <definedName name="______cha1" localSheetId="35">#REF!</definedName>
    <definedName name="______cha1" localSheetId="0">#REF!</definedName>
    <definedName name="______cha1" localSheetId="13">#REF!</definedName>
    <definedName name="______cha1">#REF!</definedName>
    <definedName name="______cha2" localSheetId="33">#REF!</definedName>
    <definedName name="______cha2" localSheetId="1">#REF!</definedName>
    <definedName name="______cha2" localSheetId="19">#REF!</definedName>
    <definedName name="______cha2" localSheetId="15">#REF!</definedName>
    <definedName name="______cha2" localSheetId="32">#REF!</definedName>
    <definedName name="______cha2" localSheetId="35">#REF!</definedName>
    <definedName name="______cha2" localSheetId="0">#REF!</definedName>
    <definedName name="______cha2" localSheetId="13">#REF!</definedName>
    <definedName name="______cha2">#REF!</definedName>
    <definedName name="______cha3" localSheetId="33">#REF!</definedName>
    <definedName name="______cha3" localSheetId="1">#REF!</definedName>
    <definedName name="______cha3" localSheetId="19">#REF!</definedName>
    <definedName name="______cha3" localSheetId="15">#REF!</definedName>
    <definedName name="______cha3" localSheetId="32">#REF!</definedName>
    <definedName name="______cha3" localSheetId="35">#REF!</definedName>
    <definedName name="______cha3" localSheetId="0">#REF!</definedName>
    <definedName name="______cha3" localSheetId="13">#REF!</definedName>
    <definedName name="______cha3">#REF!</definedName>
    <definedName name="______cha4" localSheetId="33">#REF!</definedName>
    <definedName name="______cha4" localSheetId="1">#REF!</definedName>
    <definedName name="______cha4" localSheetId="19">#REF!</definedName>
    <definedName name="______cha4" localSheetId="15">#REF!</definedName>
    <definedName name="______cha4" localSheetId="32">#REF!</definedName>
    <definedName name="______cha4" localSheetId="35">#REF!</definedName>
    <definedName name="______cha4" localSheetId="0">#REF!</definedName>
    <definedName name="______cha4" localSheetId="13">#REF!</definedName>
    <definedName name="______cha4">#REF!</definedName>
    <definedName name="______cha5" localSheetId="33">#REF!</definedName>
    <definedName name="______cha5" localSheetId="1">#REF!</definedName>
    <definedName name="______cha5" localSheetId="19">#REF!</definedName>
    <definedName name="______cha5" localSheetId="15">#REF!</definedName>
    <definedName name="______cha5" localSheetId="32">#REF!</definedName>
    <definedName name="______cha5" localSheetId="35">#REF!</definedName>
    <definedName name="______cha5" localSheetId="0">#REF!</definedName>
    <definedName name="______cha5" localSheetId="13">#REF!</definedName>
    <definedName name="______cha5">#REF!</definedName>
    <definedName name="______cha6" localSheetId="33">#REF!</definedName>
    <definedName name="______cha6" localSheetId="1">#REF!</definedName>
    <definedName name="______cha6" localSheetId="19">#REF!</definedName>
    <definedName name="______cha6" localSheetId="15">#REF!</definedName>
    <definedName name="______cha6" localSheetId="32">#REF!</definedName>
    <definedName name="______cha6" localSheetId="35">#REF!</definedName>
    <definedName name="______cha6" localSheetId="0">#REF!</definedName>
    <definedName name="______cha6" localSheetId="13">#REF!</definedName>
    <definedName name="______cha6">#REF!</definedName>
    <definedName name="______crc1">[1]combined!$B$176:$H$232</definedName>
    <definedName name="______crc2">[1]combined!$B$236:$H$301</definedName>
    <definedName name="______crc3">[1]combined!$B$329:$H$387</definedName>
    <definedName name="______GRP1">'[2]BS 590'!$B$313:$G$386</definedName>
    <definedName name="______GRP2">'[2]BS 590'!$B$388:$G$427</definedName>
    <definedName name="______GRP3" localSheetId="33">'[4]BS&amp;PLA'!#REF!</definedName>
    <definedName name="______GRP3" localSheetId="1">'[4]BS&amp;PLA'!#REF!</definedName>
    <definedName name="______GRP3" localSheetId="19">'[4]BS&amp;PLA'!#REF!</definedName>
    <definedName name="______GRP3" localSheetId="15">'[4]BS&amp;PLA'!#REF!</definedName>
    <definedName name="______GRP3" localSheetId="34">'[4]BS&amp;PLA'!#REF!</definedName>
    <definedName name="______GRP3" localSheetId="32">'[4]BS&amp;PLA'!#REF!</definedName>
    <definedName name="______GRP3" localSheetId="35">'[4]BS&amp;PLA'!#REF!</definedName>
    <definedName name="______GRP3" localSheetId="9">'[4]BS&amp;PLA'!#REF!</definedName>
    <definedName name="______GRP3" localSheetId="0">'[4]BS&amp;PLA'!#REF!</definedName>
    <definedName name="______GRP3" localSheetId="13">'[4]BS&amp;PLA'!#REF!</definedName>
    <definedName name="______GRP3">'[4]BS&amp;PLA'!#REF!</definedName>
    <definedName name="______GRP4" localSheetId="33">'[4]BS&amp;PLA'!#REF!</definedName>
    <definedName name="______GRP4" localSheetId="1">'[4]BS&amp;PLA'!#REF!</definedName>
    <definedName name="______GRP4" localSheetId="19">'[4]BS&amp;PLA'!#REF!</definedName>
    <definedName name="______GRP4" localSheetId="15">'[4]BS&amp;PLA'!#REF!</definedName>
    <definedName name="______GRP4" localSheetId="34">'[4]BS&amp;PLA'!#REF!</definedName>
    <definedName name="______GRP4" localSheetId="35">'[4]BS&amp;PLA'!#REF!</definedName>
    <definedName name="______GRP4" localSheetId="0">'[4]BS&amp;PLA'!#REF!</definedName>
    <definedName name="______GRP4" localSheetId="13">'[4]BS&amp;PLA'!#REF!</definedName>
    <definedName name="______GRP4">'[4]BS&amp;PLA'!#REF!</definedName>
    <definedName name="______PG3" localSheetId="33">[5]DEPIT979!#REF!</definedName>
    <definedName name="______PG3" localSheetId="1">[5]DEPIT979!#REF!</definedName>
    <definedName name="______PG3" localSheetId="19">[5]DEPIT979!#REF!</definedName>
    <definedName name="______PG3" localSheetId="15">[5]DEPIT979!#REF!</definedName>
    <definedName name="______PG3" localSheetId="35">[5]DEPIT979!#REF!</definedName>
    <definedName name="______PG3" localSheetId="0">[5]DEPIT979!#REF!</definedName>
    <definedName name="______PG3" localSheetId="13">[5]DEPIT979!#REF!</definedName>
    <definedName name="______PG3">[5]DEPIT979!#REF!</definedName>
    <definedName name="______sch1">'[2]BS 590'!$B$125:$H$165</definedName>
    <definedName name="______sch2">'[2]BS 590'!$B$166:$H$193</definedName>
    <definedName name="______sch3">'[2]BS 590'!$B$194:$H$231</definedName>
    <definedName name="______sch4">'[2]BS 590'!$B$233:$H$280</definedName>
    <definedName name="______sch5">'[2]BS 590'!$B$281:$H$312</definedName>
    <definedName name="______STK1" localSheetId="33">#REF!</definedName>
    <definedName name="______STK1" localSheetId="1">#REF!</definedName>
    <definedName name="______STK1" localSheetId="19">#REF!</definedName>
    <definedName name="______STK1" localSheetId="15">#REF!</definedName>
    <definedName name="______STK1" localSheetId="34">#REF!</definedName>
    <definedName name="______STK1" localSheetId="32">#REF!</definedName>
    <definedName name="______STK1" localSheetId="35">#REF!</definedName>
    <definedName name="______STK1" localSheetId="0">#REF!</definedName>
    <definedName name="______STK1" localSheetId="13">#REF!</definedName>
    <definedName name="______STK1">#REF!</definedName>
    <definedName name="______STK2" localSheetId="33">#REF!</definedName>
    <definedName name="______STK2" localSheetId="1">#REF!</definedName>
    <definedName name="______STK2" localSheetId="19">#REF!</definedName>
    <definedName name="______STK2" localSheetId="15">#REF!</definedName>
    <definedName name="______STK2" localSheetId="32">#REF!</definedName>
    <definedName name="______STK2" localSheetId="35">#REF!</definedName>
    <definedName name="______STK2" localSheetId="0">#REF!</definedName>
    <definedName name="______STK2" localSheetId="13">#REF!</definedName>
    <definedName name="______STK2">#REF!</definedName>
    <definedName name="______STK3" localSheetId="33">#REF!</definedName>
    <definedName name="______STK3" localSheetId="1">#REF!</definedName>
    <definedName name="______STK3" localSheetId="19">#REF!</definedName>
    <definedName name="______STK3" localSheetId="15">#REF!</definedName>
    <definedName name="______STK3" localSheetId="32">#REF!</definedName>
    <definedName name="______STK3" localSheetId="35">#REF!</definedName>
    <definedName name="______STK3" localSheetId="0">#REF!</definedName>
    <definedName name="______STK3" localSheetId="13">#REF!</definedName>
    <definedName name="______STK3">#REF!</definedName>
    <definedName name="_____cha1" localSheetId="33">#REF!</definedName>
    <definedName name="_____cha1" localSheetId="1">#REF!</definedName>
    <definedName name="_____cha1" localSheetId="19">#REF!</definedName>
    <definedName name="_____cha1" localSheetId="15">#REF!</definedName>
    <definedName name="_____cha1" localSheetId="32">#REF!</definedName>
    <definedName name="_____cha1" localSheetId="35">#REF!</definedName>
    <definedName name="_____cha1" localSheetId="0">#REF!</definedName>
    <definedName name="_____cha1" localSheetId="13">#REF!</definedName>
    <definedName name="_____cha1">#REF!</definedName>
    <definedName name="_____cha2" localSheetId="33">#REF!</definedName>
    <definedName name="_____cha2" localSheetId="1">#REF!</definedName>
    <definedName name="_____cha2" localSheetId="19">#REF!</definedName>
    <definedName name="_____cha2" localSheetId="15">#REF!</definedName>
    <definedName name="_____cha2" localSheetId="32">#REF!</definedName>
    <definedName name="_____cha2" localSheetId="35">#REF!</definedName>
    <definedName name="_____cha2" localSheetId="0">#REF!</definedName>
    <definedName name="_____cha2" localSheetId="13">#REF!</definedName>
    <definedName name="_____cha2">#REF!</definedName>
    <definedName name="_____cha3" localSheetId="33">#REF!</definedName>
    <definedName name="_____cha3" localSheetId="1">#REF!</definedName>
    <definedName name="_____cha3" localSheetId="19">#REF!</definedName>
    <definedName name="_____cha3" localSheetId="15">#REF!</definedName>
    <definedName name="_____cha3" localSheetId="32">#REF!</definedName>
    <definedName name="_____cha3" localSheetId="35">#REF!</definedName>
    <definedName name="_____cha3" localSheetId="0">#REF!</definedName>
    <definedName name="_____cha3" localSheetId="13">#REF!</definedName>
    <definedName name="_____cha3">#REF!</definedName>
    <definedName name="_____cha4" localSheetId="33">#REF!</definedName>
    <definedName name="_____cha4" localSheetId="1">#REF!</definedName>
    <definedName name="_____cha4" localSheetId="19">#REF!</definedName>
    <definedName name="_____cha4" localSheetId="15">#REF!</definedName>
    <definedName name="_____cha4" localSheetId="32">#REF!</definedName>
    <definedName name="_____cha4" localSheetId="35">#REF!</definedName>
    <definedName name="_____cha4" localSheetId="0">#REF!</definedName>
    <definedName name="_____cha4" localSheetId="13">#REF!</definedName>
    <definedName name="_____cha4">#REF!</definedName>
    <definedName name="_____cha5" localSheetId="33">#REF!</definedName>
    <definedName name="_____cha5" localSheetId="1">#REF!</definedName>
    <definedName name="_____cha5" localSheetId="19">#REF!</definedName>
    <definedName name="_____cha5" localSheetId="15">#REF!</definedName>
    <definedName name="_____cha5" localSheetId="32">#REF!</definedName>
    <definedName name="_____cha5" localSheetId="35">#REF!</definedName>
    <definedName name="_____cha5" localSheetId="0">#REF!</definedName>
    <definedName name="_____cha5" localSheetId="13">#REF!</definedName>
    <definedName name="_____cha5">#REF!</definedName>
    <definedName name="_____cha6" localSheetId="33">#REF!</definedName>
    <definedName name="_____cha6" localSheetId="1">#REF!</definedName>
    <definedName name="_____cha6" localSheetId="19">#REF!</definedName>
    <definedName name="_____cha6" localSheetId="15">#REF!</definedName>
    <definedName name="_____cha6" localSheetId="32">#REF!</definedName>
    <definedName name="_____cha6" localSheetId="35">#REF!</definedName>
    <definedName name="_____cha6" localSheetId="0">#REF!</definedName>
    <definedName name="_____cha6" localSheetId="13">#REF!</definedName>
    <definedName name="_____cha6">#REF!</definedName>
    <definedName name="_____crc1">[1]combined!$B$176:$H$232</definedName>
    <definedName name="_____crc2">[1]combined!$B$236:$H$301</definedName>
    <definedName name="_____crc3">[1]combined!$B$329:$H$387</definedName>
    <definedName name="_____DAT1" localSheetId="33">#REF!</definedName>
    <definedName name="_____DAT1" localSheetId="1">#REF!</definedName>
    <definedName name="_____DAT1" localSheetId="19">#REF!</definedName>
    <definedName name="_____DAT1" localSheetId="15">#REF!</definedName>
    <definedName name="_____DAT1" localSheetId="34">#REF!</definedName>
    <definedName name="_____DAT1" localSheetId="32">#REF!</definedName>
    <definedName name="_____DAT1" localSheetId="35">#REF!</definedName>
    <definedName name="_____DAT1" localSheetId="0">#REF!</definedName>
    <definedName name="_____DAT1" localSheetId="13">#REF!</definedName>
    <definedName name="_____DAT1">#REF!</definedName>
    <definedName name="_____DAT10" localSheetId="33">#REF!</definedName>
    <definedName name="_____DAT10" localSheetId="1">#REF!</definedName>
    <definedName name="_____DAT10" localSheetId="19">#REF!</definedName>
    <definedName name="_____DAT10" localSheetId="15">#REF!</definedName>
    <definedName name="_____DAT10" localSheetId="32">#REF!</definedName>
    <definedName name="_____DAT10" localSheetId="35">#REF!</definedName>
    <definedName name="_____DAT10" localSheetId="0">#REF!</definedName>
    <definedName name="_____DAT10" localSheetId="13">#REF!</definedName>
    <definedName name="_____DAT10">#REF!</definedName>
    <definedName name="_____DAT11" localSheetId="33">#REF!</definedName>
    <definedName name="_____DAT11" localSheetId="1">#REF!</definedName>
    <definedName name="_____DAT11" localSheetId="19">#REF!</definedName>
    <definedName name="_____DAT11" localSheetId="15">#REF!</definedName>
    <definedName name="_____DAT11" localSheetId="32">#REF!</definedName>
    <definedName name="_____DAT11" localSheetId="35">#REF!</definedName>
    <definedName name="_____DAT11" localSheetId="0">#REF!</definedName>
    <definedName name="_____DAT11" localSheetId="13">#REF!</definedName>
    <definedName name="_____DAT11">#REF!</definedName>
    <definedName name="_____DAT12" localSheetId="33">#REF!</definedName>
    <definedName name="_____DAT12" localSheetId="1">#REF!</definedName>
    <definedName name="_____DAT12" localSheetId="19">#REF!</definedName>
    <definedName name="_____DAT12" localSheetId="15">#REF!</definedName>
    <definedName name="_____DAT12" localSheetId="32">#REF!</definedName>
    <definedName name="_____DAT12" localSheetId="35">#REF!</definedName>
    <definedName name="_____DAT12" localSheetId="0">#REF!</definedName>
    <definedName name="_____DAT12" localSheetId="13">#REF!</definedName>
    <definedName name="_____DAT12">#REF!</definedName>
    <definedName name="_____DAT13" localSheetId="33">#REF!</definedName>
    <definedName name="_____DAT13" localSheetId="1">#REF!</definedName>
    <definedName name="_____DAT13" localSheetId="19">#REF!</definedName>
    <definedName name="_____DAT13" localSheetId="15">#REF!</definedName>
    <definedName name="_____DAT13" localSheetId="32">#REF!</definedName>
    <definedName name="_____DAT13" localSheetId="35">#REF!</definedName>
    <definedName name="_____DAT13" localSheetId="0">#REF!</definedName>
    <definedName name="_____DAT13" localSheetId="13">#REF!</definedName>
    <definedName name="_____DAT13">#REF!</definedName>
    <definedName name="_____DAT2" localSheetId="33">#REF!</definedName>
    <definedName name="_____DAT2" localSheetId="1">#REF!</definedName>
    <definedName name="_____DAT2" localSheetId="19">#REF!</definedName>
    <definedName name="_____DAT2" localSheetId="15">#REF!</definedName>
    <definedName name="_____DAT2" localSheetId="32">#REF!</definedName>
    <definedName name="_____DAT2" localSheetId="35">#REF!</definedName>
    <definedName name="_____DAT2" localSheetId="0">#REF!</definedName>
    <definedName name="_____DAT2" localSheetId="13">#REF!</definedName>
    <definedName name="_____DAT2">#REF!</definedName>
    <definedName name="_____DAT3" localSheetId="33">#REF!</definedName>
    <definedName name="_____DAT3" localSheetId="1">#REF!</definedName>
    <definedName name="_____DAT3" localSheetId="19">#REF!</definedName>
    <definedName name="_____DAT3" localSheetId="15">#REF!</definedName>
    <definedName name="_____DAT3" localSheetId="32">#REF!</definedName>
    <definedName name="_____DAT3" localSheetId="35">#REF!</definedName>
    <definedName name="_____DAT3" localSheetId="0">#REF!</definedName>
    <definedName name="_____DAT3" localSheetId="13">#REF!</definedName>
    <definedName name="_____DAT3">#REF!</definedName>
    <definedName name="_____DAT4" localSheetId="33">#REF!</definedName>
    <definedName name="_____DAT4" localSheetId="1">#REF!</definedName>
    <definedName name="_____DAT4" localSheetId="19">#REF!</definedName>
    <definedName name="_____DAT4" localSheetId="15">#REF!</definedName>
    <definedName name="_____DAT4" localSheetId="32">#REF!</definedName>
    <definedName name="_____DAT4" localSheetId="35">#REF!</definedName>
    <definedName name="_____DAT4" localSheetId="0">#REF!</definedName>
    <definedName name="_____DAT4" localSheetId="13">#REF!</definedName>
    <definedName name="_____DAT4">#REF!</definedName>
    <definedName name="_____DAT5" localSheetId="33">#REF!</definedName>
    <definedName name="_____DAT5" localSheetId="1">#REF!</definedName>
    <definedName name="_____DAT5" localSheetId="19">#REF!</definedName>
    <definedName name="_____DAT5" localSheetId="15">#REF!</definedName>
    <definedName name="_____DAT5" localSheetId="32">#REF!</definedName>
    <definedName name="_____DAT5" localSheetId="35">#REF!</definedName>
    <definedName name="_____DAT5" localSheetId="0">#REF!</definedName>
    <definedName name="_____DAT5" localSheetId="13">#REF!</definedName>
    <definedName name="_____DAT5">#REF!</definedName>
    <definedName name="_____DAT6" localSheetId="33">#REF!</definedName>
    <definedName name="_____DAT6" localSheetId="1">#REF!</definedName>
    <definedName name="_____DAT6" localSheetId="19">#REF!</definedName>
    <definedName name="_____DAT6" localSheetId="15">#REF!</definedName>
    <definedName name="_____DAT6" localSheetId="32">#REF!</definedName>
    <definedName name="_____DAT6" localSheetId="35">#REF!</definedName>
    <definedName name="_____DAT6" localSheetId="0">#REF!</definedName>
    <definedName name="_____DAT6" localSheetId="13">#REF!</definedName>
    <definedName name="_____DAT6">#REF!</definedName>
    <definedName name="_____DAT7" localSheetId="33">#REF!</definedName>
    <definedName name="_____DAT7" localSheetId="1">#REF!</definedName>
    <definedName name="_____DAT7" localSheetId="19">#REF!</definedName>
    <definedName name="_____DAT7" localSheetId="15">#REF!</definedName>
    <definedName name="_____DAT7" localSheetId="32">#REF!</definedName>
    <definedName name="_____DAT7" localSheetId="35">#REF!</definedName>
    <definedName name="_____DAT7" localSheetId="0">#REF!</definedName>
    <definedName name="_____DAT7" localSheetId="13">#REF!</definedName>
    <definedName name="_____DAT7">#REF!</definedName>
    <definedName name="_____DAT8" localSheetId="33">#REF!</definedName>
    <definedName name="_____DAT8" localSheetId="1">#REF!</definedName>
    <definedName name="_____DAT8" localSheetId="19">#REF!</definedName>
    <definedName name="_____DAT8" localSheetId="15">#REF!</definedName>
    <definedName name="_____DAT8" localSheetId="32">#REF!</definedName>
    <definedName name="_____DAT8" localSheetId="35">#REF!</definedName>
    <definedName name="_____DAT8" localSheetId="0">#REF!</definedName>
    <definedName name="_____DAT8" localSheetId="13">#REF!</definedName>
    <definedName name="_____DAT8">#REF!</definedName>
    <definedName name="_____DAT9" localSheetId="33">#REF!</definedName>
    <definedName name="_____DAT9" localSheetId="1">#REF!</definedName>
    <definedName name="_____DAT9" localSheetId="19">#REF!</definedName>
    <definedName name="_____DAT9" localSheetId="15">#REF!</definedName>
    <definedName name="_____DAT9" localSheetId="32">#REF!</definedName>
    <definedName name="_____DAT9" localSheetId="35">#REF!</definedName>
    <definedName name="_____DAT9" localSheetId="0">#REF!</definedName>
    <definedName name="_____DAT9" localSheetId="13">#REF!</definedName>
    <definedName name="_____DAT9">#REF!</definedName>
    <definedName name="_____GRP1">'[2]BS 590'!$B$313:$G$386</definedName>
    <definedName name="_____GRP2">'[2]BS 590'!$B$388:$G$427</definedName>
    <definedName name="_____GRP3" localSheetId="33">'[4]BS&amp;PLA'!#REF!</definedName>
    <definedName name="_____GRP3" localSheetId="1">'[4]BS&amp;PLA'!#REF!</definedName>
    <definedName name="_____GRP3" localSheetId="19">'[4]BS&amp;PLA'!#REF!</definedName>
    <definedName name="_____GRP3" localSheetId="15">'[4]BS&amp;PLA'!#REF!</definedName>
    <definedName name="_____GRP3" localSheetId="34">'[4]BS&amp;PLA'!#REF!</definedName>
    <definedName name="_____GRP3" localSheetId="32">'[4]BS&amp;PLA'!#REF!</definedName>
    <definedName name="_____GRP3" localSheetId="35">'[4]BS&amp;PLA'!#REF!</definedName>
    <definedName name="_____GRP3" localSheetId="9">'[4]BS&amp;PLA'!#REF!</definedName>
    <definedName name="_____GRP3" localSheetId="0">'[4]BS&amp;PLA'!#REF!</definedName>
    <definedName name="_____GRP3" localSheetId="13">'[4]BS&amp;PLA'!#REF!</definedName>
    <definedName name="_____GRP3">'[4]BS&amp;PLA'!#REF!</definedName>
    <definedName name="_____GRP4" localSheetId="33">'[4]BS&amp;PLA'!#REF!</definedName>
    <definedName name="_____GRP4" localSheetId="1">'[4]BS&amp;PLA'!#REF!</definedName>
    <definedName name="_____GRP4" localSheetId="19">'[4]BS&amp;PLA'!#REF!</definedName>
    <definedName name="_____GRP4" localSheetId="15">'[4]BS&amp;PLA'!#REF!</definedName>
    <definedName name="_____GRP4" localSheetId="34">'[4]BS&amp;PLA'!#REF!</definedName>
    <definedName name="_____GRP4" localSheetId="35">'[4]BS&amp;PLA'!#REF!</definedName>
    <definedName name="_____GRP4" localSheetId="0">'[4]BS&amp;PLA'!#REF!</definedName>
    <definedName name="_____GRP4" localSheetId="13">'[4]BS&amp;PLA'!#REF!</definedName>
    <definedName name="_____GRP4">'[4]BS&amp;PLA'!#REF!</definedName>
    <definedName name="_____PG3" localSheetId="33">[5]DEPIT979!#REF!</definedName>
    <definedName name="_____PG3" localSheetId="1">[5]DEPIT979!#REF!</definedName>
    <definedName name="_____PG3" localSheetId="19">[5]DEPIT979!#REF!</definedName>
    <definedName name="_____PG3" localSheetId="15">[5]DEPIT979!#REF!</definedName>
    <definedName name="_____PG3" localSheetId="35">[5]DEPIT979!#REF!</definedName>
    <definedName name="_____PG3" localSheetId="0">[5]DEPIT979!#REF!</definedName>
    <definedName name="_____PG3" localSheetId="13">[5]DEPIT979!#REF!</definedName>
    <definedName name="_____PG3">[5]DEPIT979!#REF!</definedName>
    <definedName name="_____sch1">'[2]BS 590'!$B$125:$H$165</definedName>
    <definedName name="_____sch2">'[2]BS 590'!$B$166:$H$193</definedName>
    <definedName name="_____sch3">'[2]BS 590'!$B$194:$H$231</definedName>
    <definedName name="_____sch4">'[2]BS 590'!$B$233:$H$280</definedName>
    <definedName name="_____sch5">'[2]BS 590'!$B$281:$H$312</definedName>
    <definedName name="_____STK1" localSheetId="33">#REF!</definedName>
    <definedName name="_____STK1" localSheetId="1">#REF!</definedName>
    <definedName name="_____STK1" localSheetId="19">#REF!</definedName>
    <definedName name="_____STK1" localSheetId="15">#REF!</definedName>
    <definedName name="_____STK1" localSheetId="34">#REF!</definedName>
    <definedName name="_____STK1" localSheetId="32">#REF!</definedName>
    <definedName name="_____STK1" localSheetId="35">#REF!</definedName>
    <definedName name="_____STK1" localSheetId="0">#REF!</definedName>
    <definedName name="_____STK1" localSheetId="13">#REF!</definedName>
    <definedName name="_____STK1">#REF!</definedName>
    <definedName name="_____STK2" localSheetId="33">#REF!</definedName>
    <definedName name="_____STK2" localSheetId="1">#REF!</definedName>
    <definedName name="_____STK2" localSheetId="19">#REF!</definedName>
    <definedName name="_____STK2" localSheetId="15">#REF!</definedName>
    <definedName name="_____STK2" localSheetId="32">#REF!</definedName>
    <definedName name="_____STK2" localSheetId="35">#REF!</definedName>
    <definedName name="_____STK2" localSheetId="0">#REF!</definedName>
    <definedName name="_____STK2" localSheetId="13">#REF!</definedName>
    <definedName name="_____STK2">#REF!</definedName>
    <definedName name="_____STK3" localSheetId="33">#REF!</definedName>
    <definedName name="_____STK3" localSheetId="1">#REF!</definedName>
    <definedName name="_____STK3" localSheetId="19">#REF!</definedName>
    <definedName name="_____STK3" localSheetId="15">#REF!</definedName>
    <definedName name="_____STK3" localSheetId="32">#REF!</definedName>
    <definedName name="_____STK3" localSheetId="35">#REF!</definedName>
    <definedName name="_____STK3" localSheetId="0">#REF!</definedName>
    <definedName name="_____STK3" localSheetId="13">#REF!</definedName>
    <definedName name="_____STK3">#REF!</definedName>
    <definedName name="____cha1" localSheetId="33">#REF!</definedName>
    <definedName name="____cha1" localSheetId="1">#REF!</definedName>
    <definedName name="____cha1" localSheetId="19">#REF!</definedName>
    <definedName name="____cha1" localSheetId="15">#REF!</definedName>
    <definedName name="____cha1" localSheetId="32">#REF!</definedName>
    <definedName name="____cha1" localSheetId="35">#REF!</definedName>
    <definedName name="____cha1" localSheetId="0">#REF!</definedName>
    <definedName name="____cha1" localSheetId="13">#REF!</definedName>
    <definedName name="____cha1">#REF!</definedName>
    <definedName name="____cha2" localSheetId="33">#REF!</definedName>
    <definedName name="____cha2" localSheetId="1">#REF!</definedName>
    <definedName name="____cha2" localSheetId="19">#REF!</definedName>
    <definedName name="____cha2" localSheetId="15">#REF!</definedName>
    <definedName name="____cha2" localSheetId="32">#REF!</definedName>
    <definedName name="____cha2" localSheetId="35">#REF!</definedName>
    <definedName name="____cha2" localSheetId="0">#REF!</definedName>
    <definedName name="____cha2" localSheetId="13">#REF!</definedName>
    <definedName name="____cha2">#REF!</definedName>
    <definedName name="____cha3" localSheetId="33">#REF!</definedName>
    <definedName name="____cha3" localSheetId="1">#REF!</definedName>
    <definedName name="____cha3" localSheetId="19">#REF!</definedName>
    <definedName name="____cha3" localSheetId="15">#REF!</definedName>
    <definedName name="____cha3" localSheetId="32">#REF!</definedName>
    <definedName name="____cha3" localSheetId="35">#REF!</definedName>
    <definedName name="____cha3" localSheetId="0">#REF!</definedName>
    <definedName name="____cha3" localSheetId="13">#REF!</definedName>
    <definedName name="____cha3">#REF!</definedName>
    <definedName name="____cha4" localSheetId="33">#REF!</definedName>
    <definedName name="____cha4" localSheetId="1">#REF!</definedName>
    <definedName name="____cha4" localSheetId="19">#REF!</definedName>
    <definedName name="____cha4" localSheetId="15">#REF!</definedName>
    <definedName name="____cha4" localSheetId="32">#REF!</definedName>
    <definedName name="____cha4" localSheetId="35">#REF!</definedName>
    <definedName name="____cha4" localSheetId="0">#REF!</definedName>
    <definedName name="____cha4" localSheetId="13">#REF!</definedName>
    <definedName name="____cha4">#REF!</definedName>
    <definedName name="____cha5" localSheetId="33">#REF!</definedName>
    <definedName name="____cha5" localSheetId="1">#REF!</definedName>
    <definedName name="____cha5" localSheetId="19">#REF!</definedName>
    <definedName name="____cha5" localSheetId="15">#REF!</definedName>
    <definedName name="____cha5" localSheetId="32">#REF!</definedName>
    <definedName name="____cha5" localSheetId="35">#REF!</definedName>
    <definedName name="____cha5" localSheetId="0">#REF!</definedName>
    <definedName name="____cha5" localSheetId="13">#REF!</definedName>
    <definedName name="____cha5">#REF!</definedName>
    <definedName name="____cha6" localSheetId="33">#REF!</definedName>
    <definedName name="____cha6" localSheetId="1">#REF!</definedName>
    <definedName name="____cha6" localSheetId="19">#REF!</definedName>
    <definedName name="____cha6" localSheetId="15">#REF!</definedName>
    <definedName name="____cha6" localSheetId="32">#REF!</definedName>
    <definedName name="____cha6" localSheetId="35">#REF!</definedName>
    <definedName name="____cha6" localSheetId="0">#REF!</definedName>
    <definedName name="____cha6" localSheetId="13">#REF!</definedName>
    <definedName name="____cha6">#REF!</definedName>
    <definedName name="____crc1">[1]combined!$B$176:$H$232</definedName>
    <definedName name="____crc2">[1]combined!$B$236:$H$301</definedName>
    <definedName name="____crc3">[1]combined!$B$329:$H$387</definedName>
    <definedName name="____DAT1" localSheetId="33">#REF!</definedName>
    <definedName name="____DAT1" localSheetId="1">#REF!</definedName>
    <definedName name="____DAT1" localSheetId="19">#REF!</definedName>
    <definedName name="____DAT1" localSheetId="15">#REF!</definedName>
    <definedName name="____DAT1" localSheetId="34">#REF!</definedName>
    <definedName name="____DAT1" localSheetId="32">#REF!</definedName>
    <definedName name="____DAT1" localSheetId="35">#REF!</definedName>
    <definedName name="____DAT1" localSheetId="0">#REF!</definedName>
    <definedName name="____DAT1" localSheetId="13">#REF!</definedName>
    <definedName name="____DAT1">#REF!</definedName>
    <definedName name="____DAT10" localSheetId="33">#REF!</definedName>
    <definedName name="____DAT10" localSheetId="1">#REF!</definedName>
    <definedName name="____DAT10" localSheetId="19">#REF!</definedName>
    <definedName name="____DAT10" localSheetId="15">#REF!</definedName>
    <definedName name="____DAT10" localSheetId="32">#REF!</definedName>
    <definedName name="____DAT10" localSheetId="35">#REF!</definedName>
    <definedName name="____DAT10" localSheetId="0">#REF!</definedName>
    <definedName name="____DAT10" localSheetId="13">#REF!</definedName>
    <definedName name="____DAT10">#REF!</definedName>
    <definedName name="____DAT11" localSheetId="33">#REF!</definedName>
    <definedName name="____DAT11" localSheetId="1">#REF!</definedName>
    <definedName name="____DAT11" localSheetId="19">#REF!</definedName>
    <definedName name="____DAT11" localSheetId="15">#REF!</definedName>
    <definedName name="____DAT11" localSheetId="32">#REF!</definedName>
    <definedName name="____DAT11" localSheetId="35">#REF!</definedName>
    <definedName name="____DAT11" localSheetId="0">#REF!</definedName>
    <definedName name="____DAT11" localSheetId="13">#REF!</definedName>
    <definedName name="____DAT11">#REF!</definedName>
    <definedName name="____DAT12" localSheetId="33">#REF!</definedName>
    <definedName name="____DAT12" localSheetId="1">#REF!</definedName>
    <definedName name="____DAT12" localSheetId="19">#REF!</definedName>
    <definedName name="____DAT12" localSheetId="15">#REF!</definedName>
    <definedName name="____DAT12" localSheetId="32">#REF!</definedName>
    <definedName name="____DAT12" localSheetId="35">#REF!</definedName>
    <definedName name="____DAT12" localSheetId="0">#REF!</definedName>
    <definedName name="____DAT12" localSheetId="13">#REF!</definedName>
    <definedName name="____DAT12">#REF!</definedName>
    <definedName name="____DAT13" localSheetId="33">#REF!</definedName>
    <definedName name="____DAT13" localSheetId="1">#REF!</definedName>
    <definedName name="____DAT13" localSheetId="19">#REF!</definedName>
    <definedName name="____DAT13" localSheetId="15">#REF!</definedName>
    <definedName name="____DAT13" localSheetId="32">#REF!</definedName>
    <definedName name="____DAT13" localSheetId="35">#REF!</definedName>
    <definedName name="____DAT13" localSheetId="0">#REF!</definedName>
    <definedName name="____DAT13" localSheetId="13">#REF!</definedName>
    <definedName name="____DAT13">#REF!</definedName>
    <definedName name="____DAT2" localSheetId="33">#REF!</definedName>
    <definedName name="____DAT2" localSheetId="1">#REF!</definedName>
    <definedName name="____DAT2" localSheetId="19">#REF!</definedName>
    <definedName name="____DAT2" localSheetId="15">#REF!</definedName>
    <definedName name="____DAT2" localSheetId="32">#REF!</definedName>
    <definedName name="____DAT2" localSheetId="35">#REF!</definedName>
    <definedName name="____DAT2" localSheetId="0">#REF!</definedName>
    <definedName name="____DAT2" localSheetId="13">#REF!</definedName>
    <definedName name="____DAT2">#REF!</definedName>
    <definedName name="____DAT3" localSheetId="33">#REF!</definedName>
    <definedName name="____DAT3" localSheetId="1">#REF!</definedName>
    <definedName name="____DAT3" localSheetId="19">#REF!</definedName>
    <definedName name="____DAT3" localSheetId="15">#REF!</definedName>
    <definedName name="____DAT3" localSheetId="32">#REF!</definedName>
    <definedName name="____DAT3" localSheetId="35">#REF!</definedName>
    <definedName name="____DAT3" localSheetId="0">#REF!</definedName>
    <definedName name="____DAT3" localSheetId="13">#REF!</definedName>
    <definedName name="____DAT3">#REF!</definedName>
    <definedName name="____DAT4" localSheetId="33">#REF!</definedName>
    <definedName name="____DAT4" localSheetId="1">#REF!</definedName>
    <definedName name="____DAT4" localSheetId="19">#REF!</definedName>
    <definedName name="____DAT4" localSheetId="15">#REF!</definedName>
    <definedName name="____DAT4" localSheetId="32">#REF!</definedName>
    <definedName name="____DAT4" localSheetId="35">#REF!</definedName>
    <definedName name="____DAT4" localSheetId="0">#REF!</definedName>
    <definedName name="____DAT4" localSheetId="13">#REF!</definedName>
    <definedName name="____DAT4">#REF!</definedName>
    <definedName name="____DAT5" localSheetId="33">#REF!</definedName>
    <definedName name="____DAT5" localSheetId="1">#REF!</definedName>
    <definedName name="____DAT5" localSheetId="19">#REF!</definedName>
    <definedName name="____DAT5" localSheetId="15">#REF!</definedName>
    <definedName name="____DAT5" localSheetId="32">#REF!</definedName>
    <definedName name="____DAT5" localSheetId="35">#REF!</definedName>
    <definedName name="____DAT5" localSheetId="0">#REF!</definedName>
    <definedName name="____DAT5" localSheetId="13">#REF!</definedName>
    <definedName name="____DAT5">#REF!</definedName>
    <definedName name="____DAT6" localSheetId="33">#REF!</definedName>
    <definedName name="____DAT6" localSheetId="1">#REF!</definedName>
    <definedName name="____DAT6" localSheetId="19">#REF!</definedName>
    <definedName name="____DAT6" localSheetId="15">#REF!</definedName>
    <definedName name="____DAT6" localSheetId="32">#REF!</definedName>
    <definedName name="____DAT6" localSheetId="35">#REF!</definedName>
    <definedName name="____DAT6" localSheetId="0">#REF!</definedName>
    <definedName name="____DAT6" localSheetId="13">#REF!</definedName>
    <definedName name="____DAT6">#REF!</definedName>
    <definedName name="____DAT7" localSheetId="33">#REF!</definedName>
    <definedName name="____DAT7" localSheetId="1">#REF!</definedName>
    <definedName name="____DAT7" localSheetId="19">#REF!</definedName>
    <definedName name="____DAT7" localSheetId="15">#REF!</definedName>
    <definedName name="____DAT7" localSheetId="32">#REF!</definedName>
    <definedName name="____DAT7" localSheetId="35">#REF!</definedName>
    <definedName name="____DAT7" localSheetId="0">#REF!</definedName>
    <definedName name="____DAT7" localSheetId="13">#REF!</definedName>
    <definedName name="____DAT7">#REF!</definedName>
    <definedName name="____DAT8" localSheetId="33">#REF!</definedName>
    <definedName name="____DAT8" localSheetId="1">#REF!</definedName>
    <definedName name="____DAT8" localSheetId="19">#REF!</definedName>
    <definedName name="____DAT8" localSheetId="15">#REF!</definedName>
    <definedName name="____DAT8" localSheetId="32">#REF!</definedName>
    <definedName name="____DAT8" localSheetId="35">#REF!</definedName>
    <definedName name="____DAT8" localSheetId="0">#REF!</definedName>
    <definedName name="____DAT8" localSheetId="13">#REF!</definedName>
    <definedName name="____DAT8">#REF!</definedName>
    <definedName name="____DAT9" localSheetId="33">#REF!</definedName>
    <definedName name="____DAT9" localSheetId="1">#REF!</definedName>
    <definedName name="____DAT9" localSheetId="19">#REF!</definedName>
    <definedName name="____DAT9" localSheetId="15">#REF!</definedName>
    <definedName name="____DAT9" localSheetId="32">#REF!</definedName>
    <definedName name="____DAT9" localSheetId="35">#REF!</definedName>
    <definedName name="____DAT9" localSheetId="0">#REF!</definedName>
    <definedName name="____DAT9" localSheetId="13">#REF!</definedName>
    <definedName name="____DAT9">#REF!</definedName>
    <definedName name="____GRP1">'[2]BS 590'!$B$313:$G$386</definedName>
    <definedName name="____GRP2">'[2]BS 590'!$B$388:$G$427</definedName>
    <definedName name="____GRP3" localSheetId="33">'[4]BS&amp;PLA'!#REF!</definedName>
    <definedName name="____GRP3" localSheetId="1">'[4]BS&amp;PLA'!#REF!</definedName>
    <definedName name="____GRP3" localSheetId="19">'[4]BS&amp;PLA'!#REF!</definedName>
    <definedName name="____GRP3" localSheetId="15">'[4]BS&amp;PLA'!#REF!</definedName>
    <definedName name="____GRP3" localSheetId="34">'[4]BS&amp;PLA'!#REF!</definedName>
    <definedName name="____GRP3" localSheetId="32">'[4]BS&amp;PLA'!#REF!</definedName>
    <definedName name="____GRP3" localSheetId="35">'[4]BS&amp;PLA'!#REF!</definedName>
    <definedName name="____GRP3" localSheetId="9">'[4]BS&amp;PLA'!#REF!</definedName>
    <definedName name="____GRP3" localSheetId="0">'[4]BS&amp;PLA'!#REF!</definedName>
    <definedName name="____GRP3" localSheetId="13">'[4]BS&amp;PLA'!#REF!</definedName>
    <definedName name="____GRP3">'[4]BS&amp;PLA'!#REF!</definedName>
    <definedName name="____GRP4" localSheetId="33">'[4]BS&amp;PLA'!#REF!</definedName>
    <definedName name="____GRP4" localSheetId="1">'[4]BS&amp;PLA'!#REF!</definedName>
    <definedName name="____GRP4" localSheetId="19">'[4]BS&amp;PLA'!#REF!</definedName>
    <definedName name="____GRP4" localSheetId="15">'[4]BS&amp;PLA'!#REF!</definedName>
    <definedName name="____GRP4" localSheetId="34">'[4]BS&amp;PLA'!#REF!</definedName>
    <definedName name="____GRP4" localSheetId="35">'[4]BS&amp;PLA'!#REF!</definedName>
    <definedName name="____GRP4" localSheetId="0">'[4]BS&amp;PLA'!#REF!</definedName>
    <definedName name="____GRP4" localSheetId="13">'[4]BS&amp;PLA'!#REF!</definedName>
    <definedName name="____GRP4">'[4]BS&amp;PLA'!#REF!</definedName>
    <definedName name="____sch1">'[2]BS 590'!$B$125:$H$165</definedName>
    <definedName name="____sch2">'[2]BS 590'!$B$166:$H$193</definedName>
    <definedName name="____sch3">'[2]BS 590'!$B$194:$H$231</definedName>
    <definedName name="____sch4">'[2]BS 590'!$B$233:$H$280</definedName>
    <definedName name="____sch5">'[2]BS 590'!$B$281:$H$312</definedName>
    <definedName name="____STK1" localSheetId="33">#REF!</definedName>
    <definedName name="____STK1" localSheetId="1">#REF!</definedName>
    <definedName name="____STK1" localSheetId="19">#REF!</definedName>
    <definedName name="____STK1" localSheetId="15">#REF!</definedName>
    <definedName name="____STK1" localSheetId="34">#REF!</definedName>
    <definedName name="____STK1" localSheetId="32">#REF!</definedName>
    <definedName name="____STK1" localSheetId="35">#REF!</definedName>
    <definedName name="____STK1" localSheetId="0">#REF!</definedName>
    <definedName name="____STK1" localSheetId="13">#REF!</definedName>
    <definedName name="____STK1">#REF!</definedName>
    <definedName name="____STK2" localSheetId="33">#REF!</definedName>
    <definedName name="____STK2" localSheetId="1">#REF!</definedName>
    <definedName name="____STK2" localSheetId="19">#REF!</definedName>
    <definedName name="____STK2" localSheetId="15">#REF!</definedName>
    <definedName name="____STK2" localSheetId="32">#REF!</definedName>
    <definedName name="____STK2" localSheetId="35">#REF!</definedName>
    <definedName name="____STK2" localSheetId="0">#REF!</definedName>
    <definedName name="____STK2" localSheetId="13">#REF!</definedName>
    <definedName name="____STK2">#REF!</definedName>
    <definedName name="____STK3" localSheetId="33">#REF!</definedName>
    <definedName name="____STK3" localSheetId="1">#REF!</definedName>
    <definedName name="____STK3" localSheetId="19">#REF!</definedName>
    <definedName name="____STK3" localSheetId="15">#REF!</definedName>
    <definedName name="____STK3" localSheetId="32">#REF!</definedName>
    <definedName name="____STK3" localSheetId="35">#REF!</definedName>
    <definedName name="____STK3" localSheetId="0">#REF!</definedName>
    <definedName name="____STK3" localSheetId="13">#REF!</definedName>
    <definedName name="____STK3">#REF!</definedName>
    <definedName name="___cha1" localSheetId="33">#REF!</definedName>
    <definedName name="___cha1" localSheetId="1">#REF!</definedName>
    <definedName name="___cha1" localSheetId="19">#REF!</definedName>
    <definedName name="___cha1" localSheetId="15">#REF!</definedName>
    <definedName name="___cha1" localSheetId="34">#REF!</definedName>
    <definedName name="___cha1" localSheetId="32">#REF!</definedName>
    <definedName name="___cha1" localSheetId="35">#REF!</definedName>
    <definedName name="___cha1" localSheetId="0">#REF!</definedName>
    <definedName name="___cha1" localSheetId="13">#REF!</definedName>
    <definedName name="___cha1">#REF!</definedName>
    <definedName name="___cha2" localSheetId="33">#REF!</definedName>
    <definedName name="___cha2" localSheetId="1">#REF!</definedName>
    <definedName name="___cha2" localSheetId="19">#REF!</definedName>
    <definedName name="___cha2" localSheetId="15">#REF!</definedName>
    <definedName name="___cha2" localSheetId="34">#REF!</definedName>
    <definedName name="___cha2" localSheetId="32">#REF!</definedName>
    <definedName name="___cha2" localSheetId="35">#REF!</definedName>
    <definedName name="___cha2" localSheetId="0">#REF!</definedName>
    <definedName name="___cha2" localSheetId="13">#REF!</definedName>
    <definedName name="___cha2">#REF!</definedName>
    <definedName name="___cha3" localSheetId="33">#REF!</definedName>
    <definedName name="___cha3" localSheetId="1">#REF!</definedName>
    <definedName name="___cha3" localSheetId="19">#REF!</definedName>
    <definedName name="___cha3" localSheetId="15">#REF!</definedName>
    <definedName name="___cha3" localSheetId="34">#REF!</definedName>
    <definedName name="___cha3" localSheetId="32">#REF!</definedName>
    <definedName name="___cha3" localSheetId="35">#REF!</definedName>
    <definedName name="___cha3" localSheetId="0">#REF!</definedName>
    <definedName name="___cha3" localSheetId="13">#REF!</definedName>
    <definedName name="___cha3">#REF!</definedName>
    <definedName name="___cha4" localSheetId="33">#REF!</definedName>
    <definedName name="___cha4" localSheetId="1">#REF!</definedName>
    <definedName name="___cha4" localSheetId="19">#REF!</definedName>
    <definedName name="___cha4" localSheetId="15">#REF!</definedName>
    <definedName name="___cha4" localSheetId="34">#REF!</definedName>
    <definedName name="___cha4" localSheetId="32">#REF!</definedName>
    <definedName name="___cha4" localSheetId="35">#REF!</definedName>
    <definedName name="___cha4" localSheetId="0">#REF!</definedName>
    <definedName name="___cha4" localSheetId="13">#REF!</definedName>
    <definedName name="___cha4">#REF!</definedName>
    <definedName name="___cha5" localSheetId="33">#REF!</definedName>
    <definedName name="___cha5" localSheetId="1">#REF!</definedName>
    <definedName name="___cha5" localSheetId="19">#REF!</definedName>
    <definedName name="___cha5" localSheetId="15">#REF!</definedName>
    <definedName name="___cha5" localSheetId="34">#REF!</definedName>
    <definedName name="___cha5" localSheetId="32">#REF!</definedName>
    <definedName name="___cha5" localSheetId="35">#REF!</definedName>
    <definedName name="___cha5" localSheetId="0">#REF!</definedName>
    <definedName name="___cha5" localSheetId="13">#REF!</definedName>
    <definedName name="___cha5">#REF!</definedName>
    <definedName name="___cha6" localSheetId="33">#REF!</definedName>
    <definedName name="___cha6" localSheetId="1">#REF!</definedName>
    <definedName name="___cha6" localSheetId="19">#REF!</definedName>
    <definedName name="___cha6" localSheetId="15">#REF!</definedName>
    <definedName name="___cha6" localSheetId="34">#REF!</definedName>
    <definedName name="___cha6" localSheetId="32">#REF!</definedName>
    <definedName name="___cha6" localSheetId="35">#REF!</definedName>
    <definedName name="___cha6" localSheetId="0">#REF!</definedName>
    <definedName name="___cha6" localSheetId="13">#REF!</definedName>
    <definedName name="___cha6">#REF!</definedName>
    <definedName name="___crc1">[1]combined!$B$176:$H$232</definedName>
    <definedName name="___crc2">[1]combined!$B$236:$H$301</definedName>
    <definedName name="___crc3">[1]combined!$B$329:$H$387</definedName>
    <definedName name="___DAT1" localSheetId="33">#REF!</definedName>
    <definedName name="___DAT1" localSheetId="1">#REF!</definedName>
    <definedName name="___DAT1" localSheetId="19">#REF!</definedName>
    <definedName name="___DAT1" localSheetId="15">#REF!</definedName>
    <definedName name="___DAT1" localSheetId="34">#REF!</definedName>
    <definedName name="___DAT1" localSheetId="32">#REF!</definedName>
    <definedName name="___DAT1" localSheetId="35">#REF!</definedName>
    <definedName name="___DAT1" localSheetId="0">#REF!</definedName>
    <definedName name="___DAT1" localSheetId="13">#REF!</definedName>
    <definedName name="___DAT1">#REF!</definedName>
    <definedName name="___DAT10" localSheetId="33">#REF!</definedName>
    <definedName name="___DAT10" localSheetId="1">#REF!</definedName>
    <definedName name="___DAT10" localSheetId="19">#REF!</definedName>
    <definedName name="___DAT10" localSheetId="15">#REF!</definedName>
    <definedName name="___DAT10" localSheetId="32">#REF!</definedName>
    <definedName name="___DAT10" localSheetId="35">#REF!</definedName>
    <definedName name="___DAT10" localSheetId="0">#REF!</definedName>
    <definedName name="___DAT10" localSheetId="13">#REF!</definedName>
    <definedName name="___DAT10">#REF!</definedName>
    <definedName name="___DAT11" localSheetId="33">#REF!</definedName>
    <definedName name="___DAT11" localSheetId="1">#REF!</definedName>
    <definedName name="___DAT11" localSheetId="19">#REF!</definedName>
    <definedName name="___DAT11" localSheetId="15">#REF!</definedName>
    <definedName name="___DAT11" localSheetId="32">#REF!</definedName>
    <definedName name="___DAT11" localSheetId="35">#REF!</definedName>
    <definedName name="___DAT11" localSheetId="0">#REF!</definedName>
    <definedName name="___DAT11" localSheetId="13">#REF!</definedName>
    <definedName name="___DAT11">#REF!</definedName>
    <definedName name="___DAT12" localSheetId="33">#REF!</definedName>
    <definedName name="___DAT12" localSheetId="1">#REF!</definedName>
    <definedName name="___DAT12" localSheetId="19">#REF!</definedName>
    <definedName name="___DAT12" localSheetId="15">#REF!</definedName>
    <definedName name="___DAT12" localSheetId="32">#REF!</definedName>
    <definedName name="___DAT12" localSheetId="35">#REF!</definedName>
    <definedName name="___DAT12" localSheetId="0">#REF!</definedName>
    <definedName name="___DAT12" localSheetId="13">#REF!</definedName>
    <definedName name="___DAT12">#REF!</definedName>
    <definedName name="___DAT13" localSheetId="33">#REF!</definedName>
    <definedName name="___DAT13" localSheetId="1">#REF!</definedName>
    <definedName name="___DAT13" localSheetId="19">#REF!</definedName>
    <definedName name="___DAT13" localSheetId="15">#REF!</definedName>
    <definedName name="___DAT13" localSheetId="32">#REF!</definedName>
    <definedName name="___DAT13" localSheetId="35">#REF!</definedName>
    <definedName name="___DAT13" localSheetId="0">#REF!</definedName>
    <definedName name="___DAT13" localSheetId="13">#REF!</definedName>
    <definedName name="___DAT13">#REF!</definedName>
    <definedName name="___DAT2" localSheetId="33">#REF!</definedName>
    <definedName name="___DAT2" localSheetId="1">#REF!</definedName>
    <definedName name="___DAT2" localSheetId="19">#REF!</definedName>
    <definedName name="___DAT2" localSheetId="15">#REF!</definedName>
    <definedName name="___DAT2" localSheetId="32">#REF!</definedName>
    <definedName name="___DAT2" localSheetId="35">#REF!</definedName>
    <definedName name="___DAT2" localSheetId="0">#REF!</definedName>
    <definedName name="___DAT2" localSheetId="13">#REF!</definedName>
    <definedName name="___DAT2">#REF!</definedName>
    <definedName name="___DAT3" localSheetId="33">#REF!</definedName>
    <definedName name="___DAT3" localSheetId="1">#REF!</definedName>
    <definedName name="___DAT3" localSheetId="19">#REF!</definedName>
    <definedName name="___DAT3" localSheetId="15">#REF!</definedName>
    <definedName name="___DAT3" localSheetId="32">#REF!</definedName>
    <definedName name="___DAT3" localSheetId="35">#REF!</definedName>
    <definedName name="___DAT3" localSheetId="0">#REF!</definedName>
    <definedName name="___DAT3" localSheetId="13">#REF!</definedName>
    <definedName name="___DAT3">#REF!</definedName>
    <definedName name="___DAT4" localSheetId="33">#REF!</definedName>
    <definedName name="___DAT4" localSheetId="1">#REF!</definedName>
    <definedName name="___DAT4" localSheetId="19">#REF!</definedName>
    <definedName name="___DAT4" localSheetId="15">#REF!</definedName>
    <definedName name="___DAT4" localSheetId="32">#REF!</definedName>
    <definedName name="___DAT4" localSheetId="35">#REF!</definedName>
    <definedName name="___DAT4" localSheetId="0">#REF!</definedName>
    <definedName name="___DAT4" localSheetId="13">#REF!</definedName>
    <definedName name="___DAT4">#REF!</definedName>
    <definedName name="___DAT5" localSheetId="33">#REF!</definedName>
    <definedName name="___DAT5" localSheetId="1">#REF!</definedName>
    <definedName name="___DAT5" localSheetId="19">#REF!</definedName>
    <definedName name="___DAT5" localSheetId="15">#REF!</definedName>
    <definedName name="___DAT5" localSheetId="32">#REF!</definedName>
    <definedName name="___DAT5" localSheetId="35">#REF!</definedName>
    <definedName name="___DAT5" localSheetId="0">#REF!</definedName>
    <definedName name="___DAT5" localSheetId="13">#REF!</definedName>
    <definedName name="___DAT5">#REF!</definedName>
    <definedName name="___DAT6" localSheetId="33">#REF!</definedName>
    <definedName name="___DAT6" localSheetId="1">#REF!</definedName>
    <definedName name="___DAT6" localSheetId="19">#REF!</definedName>
    <definedName name="___DAT6" localSheetId="15">#REF!</definedName>
    <definedName name="___DAT6" localSheetId="32">#REF!</definedName>
    <definedName name="___DAT6" localSheetId="35">#REF!</definedName>
    <definedName name="___DAT6" localSheetId="0">#REF!</definedName>
    <definedName name="___DAT6" localSheetId="13">#REF!</definedName>
    <definedName name="___DAT6">#REF!</definedName>
    <definedName name="___DAT7" localSheetId="33">#REF!</definedName>
    <definedName name="___DAT7" localSheetId="1">#REF!</definedName>
    <definedName name="___DAT7" localSheetId="19">#REF!</definedName>
    <definedName name="___DAT7" localSheetId="15">#REF!</definedName>
    <definedName name="___DAT7" localSheetId="32">#REF!</definedName>
    <definedName name="___DAT7" localSheetId="35">#REF!</definedName>
    <definedName name="___DAT7" localSheetId="0">#REF!</definedName>
    <definedName name="___DAT7" localSheetId="13">#REF!</definedName>
    <definedName name="___DAT7">#REF!</definedName>
    <definedName name="___DAT8" localSheetId="33">#REF!</definedName>
    <definedName name="___DAT8" localSheetId="1">#REF!</definedName>
    <definedName name="___DAT8" localSheetId="19">#REF!</definedName>
    <definedName name="___DAT8" localSheetId="15">#REF!</definedName>
    <definedName name="___DAT8" localSheetId="32">#REF!</definedName>
    <definedName name="___DAT8" localSheetId="35">#REF!</definedName>
    <definedName name="___DAT8" localSheetId="0">#REF!</definedName>
    <definedName name="___DAT8" localSheetId="13">#REF!</definedName>
    <definedName name="___DAT8">#REF!</definedName>
    <definedName name="___DAT9" localSheetId="33">#REF!</definedName>
    <definedName name="___DAT9" localSheetId="1">#REF!</definedName>
    <definedName name="___DAT9" localSheetId="19">#REF!</definedName>
    <definedName name="___DAT9" localSheetId="15">#REF!</definedName>
    <definedName name="___DAT9" localSheetId="32">#REF!</definedName>
    <definedName name="___DAT9" localSheetId="35">#REF!</definedName>
    <definedName name="___DAT9" localSheetId="0">#REF!</definedName>
    <definedName name="___DAT9" localSheetId="13">#REF!</definedName>
    <definedName name="___DAT9">#REF!</definedName>
    <definedName name="___GRP1">'[2]BS 590'!$B$313:$G$386</definedName>
    <definedName name="___GRP2">'[2]BS 590'!$B$388:$G$427</definedName>
    <definedName name="___GRP3" localSheetId="33">'[4]BS&amp;PLA'!#REF!</definedName>
    <definedName name="___GRP3" localSheetId="1">'[4]BS&amp;PLA'!#REF!</definedName>
    <definedName name="___GRP3" localSheetId="19">'[4]BS&amp;PLA'!#REF!</definedName>
    <definedName name="___GRP3" localSheetId="15">'[4]BS&amp;PLA'!#REF!</definedName>
    <definedName name="___GRP3" localSheetId="34">'[4]BS&amp;PLA'!#REF!</definedName>
    <definedName name="___GRP3" localSheetId="32">'[4]BS&amp;PLA'!#REF!</definedName>
    <definedName name="___GRP3" localSheetId="35">'[4]BS&amp;PLA'!#REF!</definedName>
    <definedName name="___GRP3" localSheetId="0">'[4]BS&amp;PLA'!#REF!</definedName>
    <definedName name="___GRP3" localSheetId="13">'[4]BS&amp;PLA'!#REF!</definedName>
    <definedName name="___GRP3">'[4]BS&amp;PLA'!#REF!</definedName>
    <definedName name="___GRP4" localSheetId="33">'[4]BS&amp;PLA'!#REF!</definedName>
    <definedName name="___GRP4" localSheetId="1">'[4]BS&amp;PLA'!#REF!</definedName>
    <definedName name="___GRP4" localSheetId="19">'[4]BS&amp;PLA'!#REF!</definedName>
    <definedName name="___GRP4" localSheetId="15">'[4]BS&amp;PLA'!#REF!</definedName>
    <definedName name="___GRP4" localSheetId="34">'[4]BS&amp;PLA'!#REF!</definedName>
    <definedName name="___GRP4" localSheetId="35">'[4]BS&amp;PLA'!#REF!</definedName>
    <definedName name="___GRP4" localSheetId="0">'[4]BS&amp;PLA'!#REF!</definedName>
    <definedName name="___GRP4" localSheetId="13">'[4]BS&amp;PLA'!#REF!</definedName>
    <definedName name="___GRP4">'[4]BS&amp;PLA'!#REF!</definedName>
    <definedName name="___PG3" localSheetId="33">[5]DEPIT979!#REF!</definedName>
    <definedName name="___PG3" localSheetId="1">[5]DEPIT979!#REF!</definedName>
    <definedName name="___PG3" localSheetId="19">[5]DEPIT979!#REF!</definedName>
    <definedName name="___PG3" localSheetId="15">[5]DEPIT979!#REF!</definedName>
    <definedName name="___PG3" localSheetId="35">[5]DEPIT979!#REF!</definedName>
    <definedName name="___PG3" localSheetId="0">[5]DEPIT979!#REF!</definedName>
    <definedName name="___PG3" localSheetId="13">[5]DEPIT979!#REF!</definedName>
    <definedName name="___PG3">[5]DEPIT979!#REF!</definedName>
    <definedName name="___sch1">'[2]BS 590'!$B$125:$H$165</definedName>
    <definedName name="___sch2">'[2]BS 590'!$B$166:$H$193</definedName>
    <definedName name="___sch3">'[2]BS 590'!$B$194:$H$231</definedName>
    <definedName name="___sch4">'[2]BS 590'!$B$233:$H$280</definedName>
    <definedName name="___sch5">'[2]BS 590'!$B$281:$H$312</definedName>
    <definedName name="___STK1" localSheetId="33">#REF!</definedName>
    <definedName name="___STK1" localSheetId="1">#REF!</definedName>
    <definedName name="___STK1" localSheetId="19">#REF!</definedName>
    <definedName name="___STK1" localSheetId="15">#REF!</definedName>
    <definedName name="___STK1" localSheetId="34">#REF!</definedName>
    <definedName name="___STK1" localSheetId="32">#REF!</definedName>
    <definedName name="___STK1" localSheetId="35">#REF!</definedName>
    <definedName name="___STK1" localSheetId="0">#REF!</definedName>
    <definedName name="___STK1" localSheetId="13">#REF!</definedName>
    <definedName name="___STK1">#REF!</definedName>
    <definedName name="___STK2" localSheetId="33">#REF!</definedName>
    <definedName name="___STK2" localSheetId="1">#REF!</definedName>
    <definedName name="___STK2" localSheetId="19">#REF!</definedName>
    <definedName name="___STK2" localSheetId="15">#REF!</definedName>
    <definedName name="___STK2" localSheetId="34">#REF!</definedName>
    <definedName name="___STK2" localSheetId="32">#REF!</definedName>
    <definedName name="___STK2" localSheetId="35">#REF!</definedName>
    <definedName name="___STK2" localSheetId="0">#REF!</definedName>
    <definedName name="___STK2" localSheetId="13">#REF!</definedName>
    <definedName name="___STK2">#REF!</definedName>
    <definedName name="___STK3" localSheetId="33">#REF!</definedName>
    <definedName name="___STK3" localSheetId="1">#REF!</definedName>
    <definedName name="___STK3" localSheetId="19">#REF!</definedName>
    <definedName name="___STK3" localSheetId="15">#REF!</definedName>
    <definedName name="___STK3" localSheetId="34">#REF!</definedName>
    <definedName name="___STK3" localSheetId="32">#REF!</definedName>
    <definedName name="___STK3" localSheetId="35">#REF!</definedName>
    <definedName name="___STK3" localSheetId="0">#REF!</definedName>
    <definedName name="___STK3" localSheetId="13">#REF!</definedName>
    <definedName name="___STK3">#REF!</definedName>
    <definedName name="__123Graph_A" localSheetId="1" hidden="1">'[6]TRIAL BALANCE'!#REF!</definedName>
    <definedName name="__123Graph_A" localSheetId="15" hidden="1">'[6]TRIAL BALANCE'!#REF!</definedName>
    <definedName name="__123Graph_A" localSheetId="0" hidden="1">'[6]TRIAL BALANCE'!#REF!</definedName>
    <definedName name="__123Graph_A" hidden="1">'[6]TRIAL BALANCE'!#REF!</definedName>
    <definedName name="__123Graph_B" localSheetId="1" hidden="1">'[6]TRIAL BALANCE'!#REF!</definedName>
    <definedName name="__123Graph_B" localSheetId="15" hidden="1">'[6]TRIAL BALANCE'!#REF!</definedName>
    <definedName name="__123Graph_B" localSheetId="0" hidden="1">'[6]TRIAL BALANCE'!#REF!</definedName>
    <definedName name="__123Graph_B" hidden="1">'[6]TRIAL BALANCE'!#REF!</definedName>
    <definedName name="__123Graph_D" hidden="1">'[7]Anx-M'!$B$671:$B$671</definedName>
    <definedName name="__123Graph_X" localSheetId="1" hidden="1">'[6]TRIAL BALANCE'!#REF!</definedName>
    <definedName name="__123Graph_X" localSheetId="15" hidden="1">'[6]TRIAL BALANCE'!#REF!</definedName>
    <definedName name="__123Graph_X" localSheetId="9" hidden="1">'[6]TRIAL BALANCE'!#REF!</definedName>
    <definedName name="__123Graph_X" localSheetId="0" hidden="1">'[6]TRIAL BALANCE'!#REF!</definedName>
    <definedName name="__123Graph_X" hidden="1">'[6]TRIAL BALANCE'!#REF!</definedName>
    <definedName name="__1RANGE_1" localSheetId="1">#REF!</definedName>
    <definedName name="__1RANGE_1" localSheetId="15">#REF!</definedName>
    <definedName name="__1RANGE_1" localSheetId="9">#REF!</definedName>
    <definedName name="__1RANGE_1" localSheetId="0">#REF!</definedName>
    <definedName name="__1RANGE_1">#REF!</definedName>
    <definedName name="__cha1" localSheetId="33">#REF!</definedName>
    <definedName name="__cha1" localSheetId="1">#REF!</definedName>
    <definedName name="__cha1" localSheetId="19">#REF!</definedName>
    <definedName name="__cha1" localSheetId="15">#REF!</definedName>
    <definedName name="__cha1" localSheetId="34">#REF!</definedName>
    <definedName name="__cha1" localSheetId="32">#REF!</definedName>
    <definedName name="__cha1" localSheetId="35">#REF!</definedName>
    <definedName name="__cha1" localSheetId="0">#REF!</definedName>
    <definedName name="__cha1" localSheetId="13">#REF!</definedName>
    <definedName name="__cha1">#REF!</definedName>
    <definedName name="__cha2" localSheetId="33">#REF!</definedName>
    <definedName name="__cha2" localSheetId="1">#REF!</definedName>
    <definedName name="__cha2" localSheetId="19">#REF!</definedName>
    <definedName name="__cha2" localSheetId="15">#REF!</definedName>
    <definedName name="__cha2" localSheetId="34">#REF!</definedName>
    <definedName name="__cha2" localSheetId="32">#REF!</definedName>
    <definedName name="__cha2" localSheetId="35">#REF!</definedName>
    <definedName name="__cha2" localSheetId="0">#REF!</definedName>
    <definedName name="__cha2" localSheetId="13">#REF!</definedName>
    <definedName name="__cha2">#REF!</definedName>
    <definedName name="__cha3" localSheetId="33">#REF!</definedName>
    <definedName name="__cha3" localSheetId="1">#REF!</definedName>
    <definedName name="__cha3" localSheetId="19">#REF!</definedName>
    <definedName name="__cha3" localSheetId="15">#REF!</definedName>
    <definedName name="__cha3" localSheetId="34">#REF!</definedName>
    <definedName name="__cha3" localSheetId="32">#REF!</definedName>
    <definedName name="__cha3" localSheetId="35">#REF!</definedName>
    <definedName name="__cha3" localSheetId="0">#REF!</definedName>
    <definedName name="__cha3" localSheetId="13">#REF!</definedName>
    <definedName name="__cha3">#REF!</definedName>
    <definedName name="__cha4" localSheetId="33">#REF!</definedName>
    <definedName name="__cha4" localSheetId="1">#REF!</definedName>
    <definedName name="__cha4" localSheetId="19">#REF!</definedName>
    <definedName name="__cha4" localSheetId="15">#REF!</definedName>
    <definedName name="__cha4" localSheetId="34">#REF!</definedName>
    <definedName name="__cha4" localSheetId="32">#REF!</definedName>
    <definedName name="__cha4" localSheetId="35">#REF!</definedName>
    <definedName name="__cha4" localSheetId="0">#REF!</definedName>
    <definedName name="__cha4" localSheetId="13">#REF!</definedName>
    <definedName name="__cha4">#REF!</definedName>
    <definedName name="__cha5" localSheetId="33">#REF!</definedName>
    <definedName name="__cha5" localSheetId="1">#REF!</definedName>
    <definedName name="__cha5" localSheetId="19">#REF!</definedName>
    <definedName name="__cha5" localSheetId="15">#REF!</definedName>
    <definedName name="__cha5" localSheetId="34">#REF!</definedName>
    <definedName name="__cha5" localSheetId="32">#REF!</definedName>
    <definedName name="__cha5" localSheetId="35">#REF!</definedName>
    <definedName name="__cha5" localSheetId="0">#REF!</definedName>
    <definedName name="__cha5" localSheetId="13">#REF!</definedName>
    <definedName name="__cha5">#REF!</definedName>
    <definedName name="__cha6" localSheetId="33">#REF!</definedName>
    <definedName name="__cha6" localSheetId="1">#REF!</definedName>
    <definedName name="__cha6" localSheetId="19">#REF!</definedName>
    <definedName name="__cha6" localSheetId="15">#REF!</definedName>
    <definedName name="__cha6" localSheetId="34">#REF!</definedName>
    <definedName name="__cha6" localSheetId="32">#REF!</definedName>
    <definedName name="__cha6" localSheetId="35">#REF!</definedName>
    <definedName name="__cha6" localSheetId="0">#REF!</definedName>
    <definedName name="__cha6" localSheetId="13">#REF!</definedName>
    <definedName name="__cha6">#REF!</definedName>
    <definedName name="__col1" localSheetId="1">#REF!</definedName>
    <definedName name="__col1" localSheetId="15">#REF!</definedName>
    <definedName name="__col1" localSheetId="0">#REF!</definedName>
    <definedName name="__col1">#REF!</definedName>
    <definedName name="__col10" localSheetId="1">#REF!</definedName>
    <definedName name="__col10" localSheetId="15">#REF!</definedName>
    <definedName name="__col10" localSheetId="0">#REF!</definedName>
    <definedName name="__col10">#REF!</definedName>
    <definedName name="__col11" localSheetId="1">#REF!</definedName>
    <definedName name="__col11" localSheetId="15">#REF!</definedName>
    <definedName name="__col11" localSheetId="0">#REF!</definedName>
    <definedName name="__col11">#REF!</definedName>
    <definedName name="__col12" localSheetId="1">#REF!</definedName>
    <definedName name="__col12" localSheetId="15">#REF!</definedName>
    <definedName name="__col12" localSheetId="0">#REF!</definedName>
    <definedName name="__col12">#REF!</definedName>
    <definedName name="__col13" localSheetId="1">#REF!</definedName>
    <definedName name="__col13" localSheetId="15">#REF!</definedName>
    <definedName name="__col13" localSheetId="0">#REF!</definedName>
    <definedName name="__col13">#REF!</definedName>
    <definedName name="__col2" localSheetId="1">#REF!</definedName>
    <definedName name="__col2" localSheetId="15">#REF!</definedName>
    <definedName name="__col2" localSheetId="0">#REF!</definedName>
    <definedName name="__col2">#REF!</definedName>
    <definedName name="__col3" localSheetId="1">#REF!</definedName>
    <definedName name="__col3" localSheetId="15">#REF!</definedName>
    <definedName name="__col3" localSheetId="0">#REF!</definedName>
    <definedName name="__col3">#REF!</definedName>
    <definedName name="__col4" localSheetId="1">#REF!</definedName>
    <definedName name="__col4" localSheetId="15">#REF!</definedName>
    <definedName name="__col4" localSheetId="0">#REF!</definedName>
    <definedName name="__col4">#REF!</definedName>
    <definedName name="__col5" localSheetId="1">#REF!</definedName>
    <definedName name="__col5" localSheetId="15">#REF!</definedName>
    <definedName name="__col5" localSheetId="0">#REF!</definedName>
    <definedName name="__col5">#REF!</definedName>
    <definedName name="__col6" localSheetId="1">#REF!</definedName>
    <definedName name="__col6" localSheetId="15">#REF!</definedName>
    <definedName name="__col6" localSheetId="0">#REF!</definedName>
    <definedName name="__col6">#REF!</definedName>
    <definedName name="__col7" localSheetId="1">#REF!</definedName>
    <definedName name="__col7" localSheetId="15">#REF!</definedName>
    <definedName name="__col7" localSheetId="0">#REF!</definedName>
    <definedName name="__col7">#REF!</definedName>
    <definedName name="__col8" localSheetId="1">#REF!</definedName>
    <definedName name="__col8" localSheetId="15">#REF!</definedName>
    <definedName name="__col8" localSheetId="0">#REF!</definedName>
    <definedName name="__col8">#REF!</definedName>
    <definedName name="__col9" localSheetId="1">#REF!</definedName>
    <definedName name="__col9" localSheetId="15">#REF!</definedName>
    <definedName name="__col9" localSheetId="0">#REF!</definedName>
    <definedName name="__col9">#REF!</definedName>
    <definedName name="__crc1">[1]combined!$B$176:$H$232</definedName>
    <definedName name="__crc2">[1]combined!$B$236:$H$301</definedName>
    <definedName name="__crc3">[1]combined!$B$329:$H$387</definedName>
    <definedName name="__DAT1" localSheetId="33">#REF!</definedName>
    <definedName name="__DAT1" localSheetId="1">#REF!</definedName>
    <definedName name="__DAT1" localSheetId="19">#REF!</definedName>
    <definedName name="__DAT1" localSheetId="15">#REF!</definedName>
    <definedName name="__DAT1" localSheetId="34">#REF!</definedName>
    <definedName name="__DAT1" localSheetId="32">#REF!</definedName>
    <definedName name="__DAT1" localSheetId="35">#REF!</definedName>
    <definedName name="__DAT1" localSheetId="0">#REF!</definedName>
    <definedName name="__DAT1" localSheetId="13">#REF!</definedName>
    <definedName name="__DAT1">#REF!</definedName>
    <definedName name="__DAT10" localSheetId="33">#REF!</definedName>
    <definedName name="__DAT10" localSheetId="1">#REF!</definedName>
    <definedName name="__DAT10" localSheetId="19">#REF!</definedName>
    <definedName name="__DAT10" localSheetId="15">#REF!</definedName>
    <definedName name="__DAT10" localSheetId="32">#REF!</definedName>
    <definedName name="__DAT10" localSheetId="35">#REF!</definedName>
    <definedName name="__DAT10" localSheetId="0">#REF!</definedName>
    <definedName name="__DAT10" localSheetId="13">#REF!</definedName>
    <definedName name="__DAT10">#REF!</definedName>
    <definedName name="__DAT11" localSheetId="33">#REF!</definedName>
    <definedName name="__DAT11" localSheetId="1">#REF!</definedName>
    <definedName name="__DAT11" localSheetId="19">#REF!</definedName>
    <definedName name="__DAT11" localSheetId="15">#REF!</definedName>
    <definedName name="__DAT11" localSheetId="32">#REF!</definedName>
    <definedName name="__DAT11" localSheetId="35">#REF!</definedName>
    <definedName name="__DAT11" localSheetId="0">#REF!</definedName>
    <definedName name="__DAT11" localSheetId="13">#REF!</definedName>
    <definedName name="__DAT11">#REF!</definedName>
    <definedName name="__DAT12" localSheetId="33">#REF!</definedName>
    <definedName name="__DAT12" localSheetId="1">#REF!</definedName>
    <definedName name="__DAT12" localSheetId="19">#REF!</definedName>
    <definedName name="__DAT12" localSheetId="15">#REF!</definedName>
    <definedName name="__DAT12" localSheetId="32">#REF!</definedName>
    <definedName name="__DAT12" localSheetId="35">#REF!</definedName>
    <definedName name="__DAT12" localSheetId="0">#REF!</definedName>
    <definedName name="__DAT12" localSheetId="13">#REF!</definedName>
    <definedName name="__DAT12">#REF!</definedName>
    <definedName name="__DAT13" localSheetId="33">#REF!</definedName>
    <definedName name="__DAT13" localSheetId="1">#REF!</definedName>
    <definedName name="__DAT13" localSheetId="19">#REF!</definedName>
    <definedName name="__DAT13" localSheetId="15">#REF!</definedName>
    <definedName name="__DAT13" localSheetId="32">#REF!</definedName>
    <definedName name="__DAT13" localSheetId="35">#REF!</definedName>
    <definedName name="__DAT13" localSheetId="0">#REF!</definedName>
    <definedName name="__DAT13" localSheetId="13">#REF!</definedName>
    <definedName name="__DAT13">#REF!</definedName>
    <definedName name="__DAT2" localSheetId="33">#REF!</definedName>
    <definedName name="__DAT2" localSheetId="1">#REF!</definedName>
    <definedName name="__DAT2" localSheetId="19">#REF!</definedName>
    <definedName name="__DAT2" localSheetId="15">#REF!</definedName>
    <definedName name="__DAT2" localSheetId="32">#REF!</definedName>
    <definedName name="__DAT2" localSheetId="35">#REF!</definedName>
    <definedName name="__DAT2" localSheetId="0">#REF!</definedName>
    <definedName name="__DAT2" localSheetId="13">#REF!</definedName>
    <definedName name="__DAT2">#REF!</definedName>
    <definedName name="__DAT3" localSheetId="33">#REF!</definedName>
    <definedName name="__DAT3" localSheetId="1">#REF!</definedName>
    <definedName name="__DAT3" localSheetId="19">#REF!</definedName>
    <definedName name="__DAT3" localSheetId="15">#REF!</definedName>
    <definedName name="__DAT3" localSheetId="32">#REF!</definedName>
    <definedName name="__DAT3" localSheetId="35">#REF!</definedName>
    <definedName name="__DAT3" localSheetId="0">#REF!</definedName>
    <definedName name="__DAT3" localSheetId="13">#REF!</definedName>
    <definedName name="__DAT3">#REF!</definedName>
    <definedName name="__DAT4" localSheetId="33">#REF!</definedName>
    <definedName name="__DAT4" localSheetId="1">#REF!</definedName>
    <definedName name="__DAT4" localSheetId="19">#REF!</definedName>
    <definedName name="__DAT4" localSheetId="15">#REF!</definedName>
    <definedName name="__DAT4" localSheetId="32">#REF!</definedName>
    <definedName name="__DAT4" localSheetId="35">#REF!</definedName>
    <definedName name="__DAT4" localSheetId="0">#REF!</definedName>
    <definedName name="__DAT4" localSheetId="13">#REF!</definedName>
    <definedName name="__DAT4">#REF!</definedName>
    <definedName name="__DAT5" localSheetId="33">#REF!</definedName>
    <definedName name="__DAT5" localSheetId="1">#REF!</definedName>
    <definedName name="__DAT5" localSheetId="19">#REF!</definedName>
    <definedName name="__DAT5" localSheetId="15">#REF!</definedName>
    <definedName name="__DAT5" localSheetId="32">#REF!</definedName>
    <definedName name="__DAT5" localSheetId="35">#REF!</definedName>
    <definedName name="__DAT5" localSheetId="0">#REF!</definedName>
    <definedName name="__DAT5" localSheetId="13">#REF!</definedName>
    <definedName name="__DAT5">#REF!</definedName>
    <definedName name="__DAT6" localSheetId="33">#REF!</definedName>
    <definedName name="__DAT6" localSheetId="1">#REF!</definedName>
    <definedName name="__DAT6" localSheetId="19">#REF!</definedName>
    <definedName name="__DAT6" localSheetId="15">#REF!</definedName>
    <definedName name="__DAT6" localSheetId="32">#REF!</definedName>
    <definedName name="__DAT6" localSheetId="35">#REF!</definedName>
    <definedName name="__DAT6" localSheetId="0">#REF!</definedName>
    <definedName name="__DAT6" localSheetId="13">#REF!</definedName>
    <definedName name="__DAT6">#REF!</definedName>
    <definedName name="__DAT7" localSheetId="33">#REF!</definedName>
    <definedName name="__DAT7" localSheetId="1">#REF!</definedName>
    <definedName name="__DAT7" localSheetId="19">#REF!</definedName>
    <definedName name="__DAT7" localSheetId="15">#REF!</definedName>
    <definedName name="__DAT7" localSheetId="32">#REF!</definedName>
    <definedName name="__DAT7" localSheetId="35">#REF!</definedName>
    <definedName name="__DAT7" localSheetId="0">#REF!</definedName>
    <definedName name="__DAT7" localSheetId="13">#REF!</definedName>
    <definedName name="__DAT7">#REF!</definedName>
    <definedName name="__DAT8" localSheetId="33">#REF!</definedName>
    <definedName name="__DAT8" localSheetId="1">#REF!</definedName>
    <definedName name="__DAT8" localSheetId="19">#REF!</definedName>
    <definedName name="__DAT8" localSheetId="15">#REF!</definedName>
    <definedName name="__DAT8" localSheetId="32">#REF!</definedName>
    <definedName name="__DAT8" localSheetId="35">#REF!</definedName>
    <definedName name="__DAT8" localSheetId="0">#REF!</definedName>
    <definedName name="__DAT8" localSheetId="13">#REF!</definedName>
    <definedName name="__DAT8">#REF!</definedName>
    <definedName name="__DAT9" localSheetId="33">#REF!</definedName>
    <definedName name="__DAT9" localSheetId="1">#REF!</definedName>
    <definedName name="__DAT9" localSheetId="19">#REF!</definedName>
    <definedName name="__DAT9" localSheetId="15">#REF!</definedName>
    <definedName name="__DAT9" localSheetId="32">#REF!</definedName>
    <definedName name="__DAT9" localSheetId="35">#REF!</definedName>
    <definedName name="__DAT9" localSheetId="0">#REF!</definedName>
    <definedName name="__DAT9" localSheetId="13">#REF!</definedName>
    <definedName name="__DAT9">#REF!</definedName>
    <definedName name="__GRP1">'[2]BS 590'!$B$313:$G$386</definedName>
    <definedName name="__GRP2">'[2]BS 590'!$B$388:$G$427</definedName>
    <definedName name="__GRP3" localSheetId="33">'[4]BS&amp;PLA'!#REF!</definedName>
    <definedName name="__GRP3" localSheetId="1">'[4]BS&amp;PLA'!#REF!</definedName>
    <definedName name="__GRP3" localSheetId="19">'[4]BS&amp;PLA'!#REF!</definedName>
    <definedName name="__GRP3" localSheetId="15">'[4]BS&amp;PLA'!#REF!</definedName>
    <definedName name="__GRP3" localSheetId="34">'[4]BS&amp;PLA'!#REF!</definedName>
    <definedName name="__GRP3" localSheetId="32">'[4]BS&amp;PLA'!#REF!</definedName>
    <definedName name="__GRP3" localSheetId="35">'[4]BS&amp;PLA'!#REF!</definedName>
    <definedName name="__GRP3" localSheetId="0">'[4]BS&amp;PLA'!#REF!</definedName>
    <definedName name="__GRP3" localSheetId="13">'[4]BS&amp;PLA'!#REF!</definedName>
    <definedName name="__GRP3">'[4]BS&amp;PLA'!#REF!</definedName>
    <definedName name="__GRP4" localSheetId="33">'[4]BS&amp;PLA'!#REF!</definedName>
    <definedName name="__GRP4" localSheetId="1">'[4]BS&amp;PLA'!#REF!</definedName>
    <definedName name="__GRP4" localSheetId="19">'[4]BS&amp;PLA'!#REF!</definedName>
    <definedName name="__GRP4" localSheetId="15">'[4]BS&amp;PLA'!#REF!</definedName>
    <definedName name="__GRP4" localSheetId="34">'[4]BS&amp;PLA'!#REF!</definedName>
    <definedName name="__GRP4" localSheetId="35">'[4]BS&amp;PLA'!#REF!</definedName>
    <definedName name="__GRP4" localSheetId="0">'[4]BS&amp;PLA'!#REF!</definedName>
    <definedName name="__GRP4" localSheetId="13">'[4]BS&amp;PLA'!#REF!</definedName>
    <definedName name="__GRP4">'[4]BS&amp;PLA'!#REF!</definedName>
    <definedName name="__MAR9091" localSheetId="1">'[8]TRIAL BALANCE'!#REF!</definedName>
    <definedName name="__MAR9091" localSheetId="15">'[8]TRIAL BALANCE'!#REF!</definedName>
    <definedName name="__MAR9091" localSheetId="0">'[8]TRIAL BALANCE'!#REF!</definedName>
    <definedName name="__MAR9091">'[8]TRIAL BALANCE'!#REF!</definedName>
    <definedName name="__PG3" localSheetId="33">[5]DEPIT979!#REF!</definedName>
    <definedName name="__PG3" localSheetId="1">[5]DEPIT979!#REF!</definedName>
    <definedName name="__PG3" localSheetId="19">[5]DEPIT979!#REF!</definedName>
    <definedName name="__PG3" localSheetId="15">[5]DEPIT979!#REF!</definedName>
    <definedName name="__PG3" localSheetId="35">[5]DEPIT979!#REF!</definedName>
    <definedName name="__PG3" localSheetId="0">[5]DEPIT979!#REF!</definedName>
    <definedName name="__PG3" localSheetId="13">[5]DEPIT979!#REF!</definedName>
    <definedName name="__PG3">[5]DEPIT979!#REF!</definedName>
    <definedName name="__sch1">'[2]BS 590'!$B$125:$H$165</definedName>
    <definedName name="__sch2">'[2]BS 590'!$B$166:$H$193</definedName>
    <definedName name="__sch3">'[2]BS 590'!$B$194:$H$231</definedName>
    <definedName name="__sch4">'[2]BS 590'!$B$233:$H$280</definedName>
    <definedName name="__sch5">'[2]BS 590'!$B$281:$H$312</definedName>
    <definedName name="__STK1" localSheetId="33">#REF!</definedName>
    <definedName name="__STK1" localSheetId="1">#REF!</definedName>
    <definedName name="__STK1" localSheetId="19">#REF!</definedName>
    <definedName name="__STK1" localSheetId="15">#REF!</definedName>
    <definedName name="__STK1" localSheetId="34">#REF!</definedName>
    <definedName name="__STK1" localSheetId="32">#REF!</definedName>
    <definedName name="__STK1" localSheetId="35">#REF!</definedName>
    <definedName name="__STK1" localSheetId="0">#REF!</definedName>
    <definedName name="__STK1" localSheetId="13">#REF!</definedName>
    <definedName name="__STK1">#REF!</definedName>
    <definedName name="__STK2" localSheetId="33">#REF!</definedName>
    <definedName name="__STK2" localSheetId="1">#REF!</definedName>
    <definedName name="__STK2" localSheetId="19">#REF!</definedName>
    <definedName name="__STK2" localSheetId="15">#REF!</definedName>
    <definedName name="__STK2" localSheetId="34">#REF!</definedName>
    <definedName name="__STK2" localSheetId="32">#REF!</definedName>
    <definedName name="__STK2" localSheetId="35">#REF!</definedName>
    <definedName name="__STK2" localSheetId="0">#REF!</definedName>
    <definedName name="__STK2" localSheetId="13">#REF!</definedName>
    <definedName name="__STK2">#REF!</definedName>
    <definedName name="__STK3" localSheetId="33">#REF!</definedName>
    <definedName name="__STK3" localSheetId="1">#REF!</definedName>
    <definedName name="__STK3" localSheetId="19">#REF!</definedName>
    <definedName name="__STK3" localSheetId="15">#REF!</definedName>
    <definedName name="__STK3" localSheetId="34">#REF!</definedName>
    <definedName name="__STK3" localSheetId="32">#REF!</definedName>
    <definedName name="__STK3" localSheetId="35">#REF!</definedName>
    <definedName name="__STK3" localSheetId="0">#REF!</definedName>
    <definedName name="__STK3" localSheetId="13">#REF!</definedName>
    <definedName name="__STK3">#REF!</definedName>
    <definedName name="_01_UNIT1" localSheetId="1">#REF!</definedName>
    <definedName name="_01_UNIT1" localSheetId="15">#REF!</definedName>
    <definedName name="_01_UNIT1" localSheetId="0">#REF!</definedName>
    <definedName name="_01_UNIT1">#REF!</definedName>
    <definedName name="_01_UNIT2" localSheetId="1">#REF!</definedName>
    <definedName name="_01_UNIT2" localSheetId="15">#REF!</definedName>
    <definedName name="_01_UNIT2" localSheetId="0">#REF!</definedName>
    <definedName name="_01_UNIT2">#REF!</definedName>
    <definedName name="_01A__GP___DP" localSheetId="1">#REF!</definedName>
    <definedName name="_01A__GP___DP" localSheetId="15">#REF!</definedName>
    <definedName name="_01A__GP___DP" localSheetId="0">#REF!</definedName>
    <definedName name="_01A__GP___DP">#REF!</definedName>
    <definedName name="_01B__DEP_TX_BK" localSheetId="1">#REF!</definedName>
    <definedName name="_01B__DEP_TX_BK" localSheetId="15">#REF!</definedName>
    <definedName name="_01B__DEP_TX_BK" localSheetId="0">#REF!</definedName>
    <definedName name="_01B__DEP_TX_BK">#REF!</definedName>
    <definedName name="_02A__INTEREST" localSheetId="1">#REF!</definedName>
    <definedName name="_02A__INTEREST" localSheetId="15">#REF!</definedName>
    <definedName name="_02A__INTEREST" localSheetId="0">#REF!</definedName>
    <definedName name="_02A__INTEREST">#REF!</definedName>
    <definedName name="_03_115JA_2A_B" localSheetId="1">#REF!</definedName>
    <definedName name="_03_115JA_2A_B" localSheetId="15">#REF!</definedName>
    <definedName name="_03_115JA_2A_B" localSheetId="0">#REF!</definedName>
    <definedName name="_03_115JA_2A_B">#REF!</definedName>
    <definedName name="_03_SUM_1AX" localSheetId="1">#REF!</definedName>
    <definedName name="_03_SUM_1AX" localSheetId="15">#REF!</definedName>
    <definedName name="_03_SUM_1AX" localSheetId="0">#REF!</definedName>
    <definedName name="_03_SUM_1AX">#REF!</definedName>
    <definedName name="_03_SUM_1BX" localSheetId="1">#REF!</definedName>
    <definedName name="_03_SUM_1BX" localSheetId="15">#REF!</definedName>
    <definedName name="_03_SUM_1BX" localSheetId="0">#REF!</definedName>
    <definedName name="_03_SUM_1BX">#REF!</definedName>
    <definedName name="_04_80HHC_1A" localSheetId="1">#REF!</definedName>
    <definedName name="_04_80HHC_1A" localSheetId="15">#REF!</definedName>
    <definedName name="_04_80HHC_1A" localSheetId="0">#REF!</definedName>
    <definedName name="_04_80HHC_1A">#REF!</definedName>
    <definedName name="_04_80HHC_IIA" localSheetId="1">#REF!</definedName>
    <definedName name="_04_80HHC_IIA" localSheetId="15">#REF!</definedName>
    <definedName name="_04_80HHC_IIA" localSheetId="0">#REF!</definedName>
    <definedName name="_04_80HHC_IIA">#REF!</definedName>
    <definedName name="_06__INTERUNIT" localSheetId="1">#REF!</definedName>
    <definedName name="_06__INTERUNIT" localSheetId="15">#REF!</definedName>
    <definedName name="_06__INTERUNIT" localSheetId="0">#REF!</definedName>
    <definedName name="_06__INTERUNIT">#REF!</definedName>
    <definedName name="_07__80IA" localSheetId="1">#REF!</definedName>
    <definedName name="_07__80IA" localSheetId="15">#REF!</definedName>
    <definedName name="_07__80IA" localSheetId="0">#REF!</definedName>
    <definedName name="_07__80IA">#REF!</definedName>
    <definedName name="_08__80I" localSheetId="1">#REF!</definedName>
    <definedName name="_08__80I" localSheetId="15">#REF!</definedName>
    <definedName name="_08__80I" localSheetId="0">#REF!</definedName>
    <definedName name="_08__80I">#REF!</definedName>
    <definedName name="_09_TAX_SUMMARY" localSheetId="1">#REF!</definedName>
    <definedName name="_09_TAX_SUMMARY" localSheetId="15">#REF!</definedName>
    <definedName name="_09_TAX_SUMMARY" localSheetId="0">#REF!</definedName>
    <definedName name="_09_TAX_SUMMARY">#REF!</definedName>
    <definedName name="_1" localSheetId="1">#REF!</definedName>
    <definedName name="_1" localSheetId="15">#REF!</definedName>
    <definedName name="_1" localSheetId="0">#REF!</definedName>
    <definedName name="_1">#REF!</definedName>
    <definedName name="_14A" localSheetId="1">[9]HONOTES!#REF!</definedName>
    <definedName name="_14A" localSheetId="15">[9]HONOTES!#REF!</definedName>
    <definedName name="_14A" localSheetId="0">[9]HONOTES!#REF!</definedName>
    <definedName name="_14A">[9]HONOTES!#REF!</definedName>
    <definedName name="_1RANGE_1" localSheetId="1">#REF!</definedName>
    <definedName name="_1RANGE_1" localSheetId="15">#REF!</definedName>
    <definedName name="_1RANGE_1" localSheetId="9">#REF!</definedName>
    <definedName name="_1RANGE_1" localSheetId="0">#REF!</definedName>
    <definedName name="_1RANGE_1">#REF!</definedName>
    <definedName name="_2" localSheetId="1">[9]HONOTES!#REF!</definedName>
    <definedName name="_2" localSheetId="15">[9]HONOTES!#REF!</definedName>
    <definedName name="_2" localSheetId="9">[9]HONOTES!#REF!</definedName>
    <definedName name="_2" localSheetId="0">[9]HONOTES!#REF!</definedName>
    <definedName name="_2">[9]HONOTES!#REF!</definedName>
    <definedName name="_6" localSheetId="1">[9]HONOTES!#REF!</definedName>
    <definedName name="_6" localSheetId="15">[9]HONOTES!#REF!</definedName>
    <definedName name="_6" localSheetId="0">[9]HONOTES!#REF!</definedName>
    <definedName name="_6">[9]HONOTES!#REF!</definedName>
    <definedName name="_a_" localSheetId="1">#REF!</definedName>
    <definedName name="_a_" localSheetId="15">#REF!</definedName>
    <definedName name="_a_" localSheetId="9">#REF!</definedName>
    <definedName name="_a_" localSheetId="0">#REF!</definedName>
    <definedName name="_a_">#REF!</definedName>
    <definedName name="_AUG13" localSheetId="33">[10]depreciation!#REF!</definedName>
    <definedName name="_AUG13" localSheetId="1">[10]depreciation!#REF!</definedName>
    <definedName name="_AUG13" localSheetId="19">[10]depreciation!#REF!</definedName>
    <definedName name="_AUG13" localSheetId="15">[10]depreciation!#REF!</definedName>
    <definedName name="_AUG13" localSheetId="35">[10]depreciation!#REF!</definedName>
    <definedName name="_AUG13" localSheetId="0">[10]depreciation!#REF!</definedName>
    <definedName name="_AUG13" localSheetId="13">[10]depreciation!#REF!</definedName>
    <definedName name="_AUG13">[10]depreciation!#REF!</definedName>
    <definedName name="_BSE500">[11]Sheet1!$B$1:$B$500</definedName>
    <definedName name="_cha1" localSheetId="33">#REF!</definedName>
    <definedName name="_cha1" localSheetId="1">#REF!</definedName>
    <definedName name="_cha1" localSheetId="19">#REF!</definedName>
    <definedName name="_cha1" localSheetId="15">#REF!</definedName>
    <definedName name="_cha1" localSheetId="34">#REF!</definedName>
    <definedName name="_cha1" localSheetId="32">#REF!</definedName>
    <definedName name="_cha1" localSheetId="35">#REF!</definedName>
    <definedName name="_cha1" localSheetId="0">#REF!</definedName>
    <definedName name="_cha1" localSheetId="13">#REF!</definedName>
    <definedName name="_cha1">#REF!</definedName>
    <definedName name="_cha2" localSheetId="33">#REF!</definedName>
    <definedName name="_cha2" localSheetId="1">#REF!</definedName>
    <definedName name="_cha2" localSheetId="19">#REF!</definedName>
    <definedName name="_cha2" localSheetId="15">#REF!</definedName>
    <definedName name="_cha2" localSheetId="34">#REF!</definedName>
    <definedName name="_cha2" localSheetId="32">#REF!</definedName>
    <definedName name="_cha2" localSheetId="35">#REF!</definedName>
    <definedName name="_cha2" localSheetId="0">#REF!</definedName>
    <definedName name="_cha2" localSheetId="13">#REF!</definedName>
    <definedName name="_cha2">#REF!</definedName>
    <definedName name="_cha3" localSheetId="33">#REF!</definedName>
    <definedName name="_cha3" localSheetId="1">#REF!</definedName>
    <definedName name="_cha3" localSheetId="19">#REF!</definedName>
    <definedName name="_cha3" localSheetId="15">#REF!</definedName>
    <definedName name="_cha3" localSheetId="34">#REF!</definedName>
    <definedName name="_cha3" localSheetId="32">#REF!</definedName>
    <definedName name="_cha3" localSheetId="35">#REF!</definedName>
    <definedName name="_cha3" localSheetId="0">#REF!</definedName>
    <definedName name="_cha3" localSheetId="13">#REF!</definedName>
    <definedName name="_cha3">#REF!</definedName>
    <definedName name="_cha4" localSheetId="33">#REF!</definedName>
    <definedName name="_cha4" localSheetId="1">#REF!</definedName>
    <definedName name="_cha4" localSheetId="19">#REF!</definedName>
    <definedName name="_cha4" localSheetId="15">#REF!</definedName>
    <definedName name="_cha4" localSheetId="34">#REF!</definedName>
    <definedName name="_cha4" localSheetId="32">#REF!</definedName>
    <definedName name="_cha4" localSheetId="35">#REF!</definedName>
    <definedName name="_cha4" localSheetId="0">#REF!</definedName>
    <definedName name="_cha4" localSheetId="13">#REF!</definedName>
    <definedName name="_cha4">#REF!</definedName>
    <definedName name="_cha5" localSheetId="33">#REF!</definedName>
    <definedName name="_cha5" localSheetId="1">#REF!</definedName>
    <definedName name="_cha5" localSheetId="19">#REF!</definedName>
    <definedName name="_cha5" localSheetId="15">#REF!</definedName>
    <definedName name="_cha5" localSheetId="34">#REF!</definedName>
    <definedName name="_cha5" localSheetId="32">#REF!</definedName>
    <definedName name="_cha5" localSheetId="35">#REF!</definedName>
    <definedName name="_cha5" localSheetId="0">#REF!</definedName>
    <definedName name="_cha5" localSheetId="13">#REF!</definedName>
    <definedName name="_cha5">#REF!</definedName>
    <definedName name="_cha6" localSheetId="33">#REF!</definedName>
    <definedName name="_cha6" localSheetId="1">#REF!</definedName>
    <definedName name="_cha6" localSheetId="19">#REF!</definedName>
    <definedName name="_cha6" localSheetId="15">#REF!</definedName>
    <definedName name="_cha6" localSheetId="34">#REF!</definedName>
    <definedName name="_cha6" localSheetId="32">#REF!</definedName>
    <definedName name="_cha6" localSheetId="35">#REF!</definedName>
    <definedName name="_cha6" localSheetId="0">#REF!</definedName>
    <definedName name="_cha6" localSheetId="13">#REF!</definedName>
    <definedName name="_cha6">#REF!</definedName>
    <definedName name="_col1" localSheetId="1">#REF!</definedName>
    <definedName name="_col1" localSheetId="15">#REF!</definedName>
    <definedName name="_col1" localSheetId="0">#REF!</definedName>
    <definedName name="_col1">#REF!</definedName>
    <definedName name="_col10" localSheetId="1">#REF!</definedName>
    <definedName name="_col10" localSheetId="15">#REF!</definedName>
    <definedName name="_col10" localSheetId="0">#REF!</definedName>
    <definedName name="_col10">#REF!</definedName>
    <definedName name="_col11" localSheetId="1">#REF!</definedName>
    <definedName name="_col11" localSheetId="15">#REF!</definedName>
    <definedName name="_col11" localSheetId="0">#REF!</definedName>
    <definedName name="_col11">#REF!</definedName>
    <definedName name="_col12" localSheetId="1">#REF!</definedName>
    <definedName name="_col12" localSheetId="15">#REF!</definedName>
    <definedName name="_col12" localSheetId="0">#REF!</definedName>
    <definedName name="_col12">#REF!</definedName>
    <definedName name="_col13" localSheetId="1">#REF!</definedName>
    <definedName name="_col13" localSheetId="15">#REF!</definedName>
    <definedName name="_col13" localSheetId="0">#REF!</definedName>
    <definedName name="_col13">#REF!</definedName>
    <definedName name="_col2" localSheetId="1">#REF!</definedName>
    <definedName name="_col2" localSheetId="15">#REF!</definedName>
    <definedName name="_col2" localSheetId="0">#REF!</definedName>
    <definedName name="_col2">#REF!</definedName>
    <definedName name="_col3" localSheetId="1">#REF!</definedName>
    <definedName name="_col3" localSheetId="15">#REF!</definedName>
    <definedName name="_col3" localSheetId="0">#REF!</definedName>
    <definedName name="_col3">#REF!</definedName>
    <definedName name="_col4" localSheetId="1">#REF!</definedName>
    <definedName name="_col4" localSheetId="15">#REF!</definedName>
    <definedName name="_col4" localSheetId="0">#REF!</definedName>
    <definedName name="_col4">#REF!</definedName>
    <definedName name="_col5" localSheetId="1">#REF!</definedName>
    <definedName name="_col5" localSheetId="15">#REF!</definedName>
    <definedName name="_col5" localSheetId="0">#REF!</definedName>
    <definedName name="_col5">#REF!</definedName>
    <definedName name="_col6" localSheetId="1">#REF!</definedName>
    <definedName name="_col6" localSheetId="15">#REF!</definedName>
    <definedName name="_col6" localSheetId="0">#REF!</definedName>
    <definedName name="_col6">#REF!</definedName>
    <definedName name="_col7" localSheetId="1">#REF!</definedName>
    <definedName name="_col7" localSheetId="15">#REF!</definedName>
    <definedName name="_col7" localSheetId="0">#REF!</definedName>
    <definedName name="_col7">#REF!</definedName>
    <definedName name="_col8" localSheetId="1">#REF!</definedName>
    <definedName name="_col8" localSheetId="15">#REF!</definedName>
    <definedName name="_col8" localSheetId="0">#REF!</definedName>
    <definedName name="_col8">#REF!</definedName>
    <definedName name="_col9" localSheetId="1">#REF!</definedName>
    <definedName name="_col9" localSheetId="15">#REF!</definedName>
    <definedName name="_col9" localSheetId="0">#REF!</definedName>
    <definedName name="_col9">#REF!</definedName>
    <definedName name="_crc1">[1]combined!$B$176:$H$232</definedName>
    <definedName name="_crc2">[1]combined!$B$236:$H$301</definedName>
    <definedName name="_crc3">[1]combined!$B$329:$H$387</definedName>
    <definedName name="_DAT1" localSheetId="33">#REF!</definedName>
    <definedName name="_DAT1" localSheetId="1">#REF!</definedName>
    <definedName name="_DAT1" localSheetId="19">#REF!</definedName>
    <definedName name="_DAT1" localSheetId="15">#REF!</definedName>
    <definedName name="_DAT1" localSheetId="34">#REF!</definedName>
    <definedName name="_DAT1" localSheetId="32">#REF!</definedName>
    <definedName name="_DAT1" localSheetId="35">#REF!</definedName>
    <definedName name="_DAT1" localSheetId="0">#REF!</definedName>
    <definedName name="_DAT1" localSheetId="13">#REF!</definedName>
    <definedName name="_DAT1">#REF!</definedName>
    <definedName name="_DAT10" localSheetId="33">#REF!</definedName>
    <definedName name="_DAT10" localSheetId="1">#REF!</definedName>
    <definedName name="_DAT10" localSheetId="19">#REF!</definedName>
    <definedName name="_DAT10" localSheetId="15">#REF!</definedName>
    <definedName name="_DAT10" localSheetId="34">#REF!</definedName>
    <definedName name="_DAT10" localSheetId="32">#REF!</definedName>
    <definedName name="_DAT10" localSheetId="35">#REF!</definedName>
    <definedName name="_DAT10" localSheetId="0">#REF!</definedName>
    <definedName name="_DAT10" localSheetId="13">#REF!</definedName>
    <definedName name="_DAT10">#REF!</definedName>
    <definedName name="_DAT11" localSheetId="33">#REF!</definedName>
    <definedName name="_DAT11" localSheetId="1">#REF!</definedName>
    <definedName name="_DAT11" localSheetId="19">#REF!</definedName>
    <definedName name="_DAT11" localSheetId="15">#REF!</definedName>
    <definedName name="_DAT11" localSheetId="34">#REF!</definedName>
    <definedName name="_DAT11" localSheetId="32">#REF!</definedName>
    <definedName name="_DAT11" localSheetId="35">#REF!</definedName>
    <definedName name="_DAT11" localSheetId="0">#REF!</definedName>
    <definedName name="_DAT11" localSheetId="13">#REF!</definedName>
    <definedName name="_DAT11">#REF!</definedName>
    <definedName name="_DAT12" localSheetId="33">#REF!</definedName>
    <definedName name="_DAT12" localSheetId="1">#REF!</definedName>
    <definedName name="_DAT12" localSheetId="19">#REF!</definedName>
    <definedName name="_DAT12" localSheetId="15">#REF!</definedName>
    <definedName name="_DAT12" localSheetId="34">#REF!</definedName>
    <definedName name="_DAT12" localSheetId="32">#REF!</definedName>
    <definedName name="_DAT12" localSheetId="35">#REF!</definedName>
    <definedName name="_DAT12" localSheetId="0">#REF!</definedName>
    <definedName name="_DAT12" localSheetId="13">#REF!</definedName>
    <definedName name="_DAT12">#REF!</definedName>
    <definedName name="_DAT13" localSheetId="33">#REF!</definedName>
    <definedName name="_DAT13" localSheetId="1">#REF!</definedName>
    <definedName name="_DAT13" localSheetId="19">#REF!</definedName>
    <definedName name="_DAT13" localSheetId="15">#REF!</definedName>
    <definedName name="_DAT13" localSheetId="34">#REF!</definedName>
    <definedName name="_DAT13" localSheetId="32">#REF!</definedName>
    <definedName name="_DAT13" localSheetId="35">#REF!</definedName>
    <definedName name="_DAT13" localSheetId="0">#REF!</definedName>
    <definedName name="_DAT13" localSheetId="13">#REF!</definedName>
    <definedName name="_DAT13">#REF!</definedName>
    <definedName name="_DAT2" localSheetId="33">#REF!</definedName>
    <definedName name="_DAT2" localSheetId="1">#REF!</definedName>
    <definedName name="_DAT2" localSheetId="19">#REF!</definedName>
    <definedName name="_DAT2" localSheetId="15">#REF!</definedName>
    <definedName name="_DAT2" localSheetId="34">#REF!</definedName>
    <definedName name="_DAT2" localSheetId="32">#REF!</definedName>
    <definedName name="_DAT2" localSheetId="35">#REF!</definedName>
    <definedName name="_DAT2" localSheetId="0">#REF!</definedName>
    <definedName name="_DAT2" localSheetId="13">#REF!</definedName>
    <definedName name="_DAT2">#REF!</definedName>
    <definedName name="_DAT3" localSheetId="33">#REF!</definedName>
    <definedName name="_DAT3" localSheetId="1">#REF!</definedName>
    <definedName name="_DAT3" localSheetId="19">#REF!</definedName>
    <definedName name="_DAT3" localSheetId="15">#REF!</definedName>
    <definedName name="_DAT3" localSheetId="34">#REF!</definedName>
    <definedName name="_DAT3" localSheetId="32">#REF!</definedName>
    <definedName name="_DAT3" localSheetId="35">#REF!</definedName>
    <definedName name="_DAT3" localSheetId="0">#REF!</definedName>
    <definedName name="_DAT3" localSheetId="13">#REF!</definedName>
    <definedName name="_DAT3">#REF!</definedName>
    <definedName name="_DAT4" localSheetId="33">#REF!</definedName>
    <definedName name="_DAT4" localSheetId="1">#REF!</definedName>
    <definedName name="_DAT4" localSheetId="19">#REF!</definedName>
    <definedName name="_DAT4" localSheetId="15">#REF!</definedName>
    <definedName name="_DAT4" localSheetId="34">#REF!</definedName>
    <definedName name="_DAT4" localSheetId="32">#REF!</definedName>
    <definedName name="_DAT4" localSheetId="35">#REF!</definedName>
    <definedName name="_DAT4" localSheetId="0">#REF!</definedName>
    <definedName name="_DAT4" localSheetId="13">#REF!</definedName>
    <definedName name="_DAT4">#REF!</definedName>
    <definedName name="_DAT5" localSheetId="33">#REF!</definedName>
    <definedName name="_DAT5" localSheetId="1">#REF!</definedName>
    <definedName name="_DAT5" localSheetId="19">#REF!</definedName>
    <definedName name="_DAT5" localSheetId="15">#REF!</definedName>
    <definedName name="_DAT5" localSheetId="34">#REF!</definedName>
    <definedName name="_DAT5" localSheetId="32">#REF!</definedName>
    <definedName name="_DAT5" localSheetId="35">#REF!</definedName>
    <definedName name="_DAT5" localSheetId="0">#REF!</definedName>
    <definedName name="_DAT5" localSheetId="13">#REF!</definedName>
    <definedName name="_DAT5">#REF!</definedName>
    <definedName name="_DAT6" localSheetId="33">#REF!</definedName>
    <definedName name="_DAT6" localSheetId="1">#REF!</definedName>
    <definedName name="_DAT6" localSheetId="19">#REF!</definedName>
    <definedName name="_DAT6" localSheetId="15">#REF!</definedName>
    <definedName name="_DAT6" localSheetId="34">#REF!</definedName>
    <definedName name="_DAT6" localSheetId="32">#REF!</definedName>
    <definedName name="_DAT6" localSheetId="35">#REF!</definedName>
    <definedName name="_DAT6" localSheetId="0">#REF!</definedName>
    <definedName name="_DAT6" localSheetId="13">#REF!</definedName>
    <definedName name="_DAT6">#REF!</definedName>
    <definedName name="_DAT7" localSheetId="33">#REF!</definedName>
    <definedName name="_DAT7" localSheetId="1">#REF!</definedName>
    <definedName name="_DAT7" localSheetId="19">#REF!</definedName>
    <definedName name="_DAT7" localSheetId="15">#REF!</definedName>
    <definedName name="_DAT7" localSheetId="34">#REF!</definedName>
    <definedName name="_DAT7" localSheetId="32">#REF!</definedName>
    <definedName name="_DAT7" localSheetId="35">#REF!</definedName>
    <definedName name="_DAT7" localSheetId="0">#REF!</definedName>
    <definedName name="_DAT7" localSheetId="13">#REF!</definedName>
    <definedName name="_DAT7">#REF!</definedName>
    <definedName name="_DAT8" localSheetId="33">#REF!</definedName>
    <definedName name="_DAT8" localSheetId="1">#REF!</definedName>
    <definedName name="_DAT8" localSheetId="19">#REF!</definedName>
    <definedName name="_DAT8" localSheetId="15">#REF!</definedName>
    <definedName name="_DAT8" localSheetId="34">#REF!</definedName>
    <definedName name="_DAT8" localSheetId="32">#REF!</definedName>
    <definedName name="_DAT8" localSheetId="35">#REF!</definedName>
    <definedName name="_DAT8" localSheetId="0">#REF!</definedName>
    <definedName name="_DAT8" localSheetId="13">#REF!</definedName>
    <definedName name="_DAT8">#REF!</definedName>
    <definedName name="_DAT9" localSheetId="33">#REF!</definedName>
    <definedName name="_DAT9" localSheetId="1">#REF!</definedName>
    <definedName name="_DAT9" localSheetId="19">#REF!</definedName>
    <definedName name="_DAT9" localSheetId="15">#REF!</definedName>
    <definedName name="_DAT9" localSheetId="34">#REF!</definedName>
    <definedName name="_DAT9" localSheetId="32">#REF!</definedName>
    <definedName name="_DAT9" localSheetId="35">#REF!</definedName>
    <definedName name="_DAT9" localSheetId="0">#REF!</definedName>
    <definedName name="_DAT9" localSheetId="13">#REF!</definedName>
    <definedName name="_DAT9">#REF!</definedName>
    <definedName name="_Fill" localSheetId="33" hidden="1">#REF!</definedName>
    <definedName name="_Fill" localSheetId="1" hidden="1">#REF!</definedName>
    <definedName name="_Fill" localSheetId="19" hidden="1">#REF!</definedName>
    <definedName name="_Fill" localSheetId="15" hidden="1">#REF!</definedName>
    <definedName name="_Fill" localSheetId="34" hidden="1">#REF!</definedName>
    <definedName name="_Fill" localSheetId="32" hidden="1">#REF!</definedName>
    <definedName name="_Fill" localSheetId="35" hidden="1">#REF!</definedName>
    <definedName name="_Fill" localSheetId="0" hidden="1">#REF!</definedName>
    <definedName name="_Fill" localSheetId="13" hidden="1">#REF!</definedName>
    <definedName name="_Fill" hidden="1">#REF!</definedName>
    <definedName name="_xlnm._FilterDatabase" localSheetId="19" hidden="1">'Debtor''s Ageing'!$J$6:$N$508</definedName>
    <definedName name="_xlnm._FilterDatabase" localSheetId="35" hidden="1">'MSME 22-23'!$B$7:$I$91</definedName>
    <definedName name="_xlnm._FilterDatabase" localSheetId="24" hidden="1">'Shareholders List'!$A$3:$G$425</definedName>
    <definedName name="_xlnm._FilterDatabase" localSheetId="18" hidden="1">TB!$A$11:$I$406</definedName>
    <definedName name="_xlnm._FilterDatabase" localSheetId="17" hidden="1">'TB Final'!$A$3:$Q$499</definedName>
    <definedName name="_GRP1">'[2]BS 590'!$B$313:$G$386</definedName>
    <definedName name="_GRP2">'[2]BS 590'!$B$388:$G$427</definedName>
    <definedName name="_GRP3" localSheetId="33">'[4]BS&amp;PLA'!#REF!</definedName>
    <definedName name="_GRP3" localSheetId="1">'[4]BS&amp;PLA'!#REF!</definedName>
    <definedName name="_GRP3" localSheetId="19">'[4]BS&amp;PLA'!#REF!</definedName>
    <definedName name="_GRP3" localSheetId="15">'[4]BS&amp;PLA'!#REF!</definedName>
    <definedName name="_GRP3" localSheetId="34">'[4]BS&amp;PLA'!#REF!</definedName>
    <definedName name="_GRP3" localSheetId="32">'[4]BS&amp;PLA'!#REF!</definedName>
    <definedName name="_GRP3" localSheetId="35">'[4]BS&amp;PLA'!#REF!</definedName>
    <definedName name="_GRP3" localSheetId="0">'[4]BS&amp;PLA'!#REF!</definedName>
    <definedName name="_GRP3" localSheetId="13">'[4]BS&amp;PLA'!#REF!</definedName>
    <definedName name="_GRP3">'[4]BS&amp;PLA'!#REF!</definedName>
    <definedName name="_GRP4" localSheetId="33">'[4]BS&amp;PLA'!#REF!</definedName>
    <definedName name="_GRP4" localSheetId="1">'[4]BS&amp;PLA'!#REF!</definedName>
    <definedName name="_GRP4" localSheetId="19">'[4]BS&amp;PLA'!#REF!</definedName>
    <definedName name="_GRP4" localSheetId="15">'[4]BS&amp;PLA'!#REF!</definedName>
    <definedName name="_GRP4" localSheetId="34">'[4]BS&amp;PLA'!#REF!</definedName>
    <definedName name="_GRP4" localSheetId="35">'[4]BS&amp;PLA'!#REF!</definedName>
    <definedName name="_GRP4" localSheetId="0">'[4]BS&amp;PLA'!#REF!</definedName>
    <definedName name="_GRP4" localSheetId="13">'[4]BS&amp;PLA'!#REF!</definedName>
    <definedName name="_GRP4">'[4]BS&amp;PLA'!#REF!</definedName>
    <definedName name="_Inv1" localSheetId="1">#REF!</definedName>
    <definedName name="_Inv1" localSheetId="15">#REF!</definedName>
    <definedName name="_Inv1" localSheetId="34">#REF!</definedName>
    <definedName name="_Inv1" localSheetId="9">#REF!</definedName>
    <definedName name="_Inv1" localSheetId="0">#REF!</definedName>
    <definedName name="_Inv1">#REF!</definedName>
    <definedName name="_Inv2" localSheetId="1">#REF!</definedName>
    <definedName name="_Inv2" localSheetId="15">#REF!</definedName>
    <definedName name="_Inv2" localSheetId="34">#REF!</definedName>
    <definedName name="_Inv2" localSheetId="9">#REF!</definedName>
    <definedName name="_Inv2" localSheetId="0">#REF!</definedName>
    <definedName name="_Inv2">#REF!</definedName>
    <definedName name="_Key1" localSheetId="33" hidden="1">#REF!</definedName>
    <definedName name="_Key1" localSheetId="1" hidden="1">#REF!</definedName>
    <definedName name="_Key1" localSheetId="19" hidden="1">#REF!</definedName>
    <definedName name="_Key1" localSheetId="15" hidden="1">#REF!</definedName>
    <definedName name="_Key1" localSheetId="34" hidden="1">#REF!</definedName>
    <definedName name="_Key1" localSheetId="32" hidden="1">#REF!</definedName>
    <definedName name="_Key1" localSheetId="35" hidden="1">#REF!</definedName>
    <definedName name="_Key1" localSheetId="0" hidden="1">#REF!</definedName>
    <definedName name="_Key1" localSheetId="13" hidden="1">#REF!</definedName>
    <definedName name="_Key1" hidden="1">#REF!</definedName>
    <definedName name="_Key2" localSheetId="33" hidden="1">[12]ASSET_ADD!#REF!</definedName>
    <definedName name="_Key2" localSheetId="1" hidden="1">[13]ASSET_ADD!#REF!</definedName>
    <definedName name="_Key2" localSheetId="19" hidden="1">[12]ASSET_ADD!#REF!</definedName>
    <definedName name="_Key2" localSheetId="15" hidden="1">[13]ASSET_ADD!#REF!</definedName>
    <definedName name="_Key2" localSheetId="34" hidden="1">[14]ASSET_ADD!#REF!</definedName>
    <definedName name="_Key2" localSheetId="32" hidden="1">[15]ASSET_ADD!#REF!</definedName>
    <definedName name="_Key2" localSheetId="35" hidden="1">[15]ASSET_ADD!#REF!</definedName>
    <definedName name="_Key2" localSheetId="0" hidden="1">[13]ASSET_ADD!#REF!</definedName>
    <definedName name="_Key2" localSheetId="13" hidden="1">[12]ASSET_ADD!#REF!</definedName>
    <definedName name="_Key2" hidden="1">[13]ASSET_ADD!#REF!</definedName>
    <definedName name="_MAR9091" localSheetId="1">'[16]TRIAL BALANCE'!#REF!</definedName>
    <definedName name="_MAR9091" localSheetId="15">'[16]TRIAL BALANCE'!#REF!</definedName>
    <definedName name="_MAR9091" localSheetId="0">'[16]TRIAL BALANCE'!#REF!</definedName>
    <definedName name="_MAR9091">'[16]TRIAL BALANCE'!#REF!</definedName>
    <definedName name="_Mar90911" localSheetId="1">'[8]TRIAL BALANCE'!#REF!</definedName>
    <definedName name="_Mar90911" localSheetId="15">'[8]TRIAL BALANCE'!#REF!</definedName>
    <definedName name="_Mar90911" localSheetId="0">'[8]TRIAL BALANCE'!#REF!</definedName>
    <definedName name="_Mar90911">'[8]TRIAL BALANCE'!#REF!</definedName>
    <definedName name="_Order1" hidden="1">255</definedName>
    <definedName name="_Order2" hidden="1">255</definedName>
    <definedName name="_Parse_Out" localSheetId="1" hidden="1">#REF!</definedName>
    <definedName name="_Parse_Out" localSheetId="15" hidden="1">#REF!</definedName>
    <definedName name="_Parse_Out" localSheetId="9" hidden="1">#REF!</definedName>
    <definedName name="_Parse_Out" localSheetId="0" hidden="1">#REF!</definedName>
    <definedName name="_Parse_Out" hidden="1">#REF!</definedName>
    <definedName name="_PG3" localSheetId="33">[5]DEPIT979!#REF!</definedName>
    <definedName name="_PG3" localSheetId="1">[5]DEPIT979!#REF!</definedName>
    <definedName name="_PG3" localSheetId="19">[5]DEPIT979!#REF!</definedName>
    <definedName name="_PG3" localSheetId="15">[5]DEPIT979!#REF!</definedName>
    <definedName name="_PG3" localSheetId="34">[5]DEPIT979!#REF!</definedName>
    <definedName name="_PG3" localSheetId="35">[5]DEPIT979!#REF!</definedName>
    <definedName name="_PG3" localSheetId="0">[5]DEPIT979!#REF!</definedName>
    <definedName name="_PG3" localSheetId="13">[5]DEPIT979!#REF!</definedName>
    <definedName name="_PG3">[5]DEPIT979!#REF!</definedName>
    <definedName name="_sch1">'[2]BS 590'!$B$125:$H$165</definedName>
    <definedName name="_sch2">'[2]BS 590'!$B$166:$H$193</definedName>
    <definedName name="_sch3">'[2]BS 590'!$B$194:$H$231</definedName>
    <definedName name="_sch4">'[2]BS 590'!$B$233:$H$280</definedName>
    <definedName name="_sch5">'[2]BS 590'!$B$281:$H$312</definedName>
    <definedName name="_SCH6" localSheetId="1">#REF!</definedName>
    <definedName name="_SCH6" localSheetId="15">#REF!</definedName>
    <definedName name="_SCH6" localSheetId="9">#REF!</definedName>
    <definedName name="_SCH6" localSheetId="0">#REF!</definedName>
    <definedName name="_SCH6">#REF!</definedName>
    <definedName name="_Sort" localSheetId="33" hidden="1">#REF!</definedName>
    <definedName name="_Sort" localSheetId="1" hidden="1">#REF!</definedName>
    <definedName name="_Sort" localSheetId="19" hidden="1">#REF!</definedName>
    <definedName name="_Sort" localSheetId="15" hidden="1">#REF!</definedName>
    <definedName name="_Sort" localSheetId="34" hidden="1">#REF!</definedName>
    <definedName name="_Sort" localSheetId="32" hidden="1">#REF!</definedName>
    <definedName name="_Sort" localSheetId="35" hidden="1">#REF!</definedName>
    <definedName name="_Sort" localSheetId="0" hidden="1">#REF!</definedName>
    <definedName name="_Sort" localSheetId="13" hidden="1">#REF!</definedName>
    <definedName name="_Sort" hidden="1">#REF!</definedName>
    <definedName name="_STK1" localSheetId="33">#REF!</definedName>
    <definedName name="_STK1" localSheetId="1">#REF!</definedName>
    <definedName name="_STK1" localSheetId="19">#REF!</definedName>
    <definedName name="_STK1" localSheetId="15">#REF!</definedName>
    <definedName name="_STK1" localSheetId="34">#REF!</definedName>
    <definedName name="_STK1" localSheetId="32">#REF!</definedName>
    <definedName name="_STK1" localSheetId="35">#REF!</definedName>
    <definedName name="_STK1" localSheetId="0">#REF!</definedName>
    <definedName name="_STK1" localSheetId="13">#REF!</definedName>
    <definedName name="_STK1">#REF!</definedName>
    <definedName name="_STK2" localSheetId="33">#REF!</definedName>
    <definedName name="_STK2" localSheetId="1">#REF!</definedName>
    <definedName name="_STK2" localSheetId="19">#REF!</definedName>
    <definedName name="_STK2" localSheetId="15">#REF!</definedName>
    <definedName name="_STK2" localSheetId="34">#REF!</definedName>
    <definedName name="_STK2" localSheetId="32">#REF!</definedName>
    <definedName name="_STK2" localSheetId="35">#REF!</definedName>
    <definedName name="_STK2" localSheetId="0">#REF!</definedName>
    <definedName name="_STK2" localSheetId="13">#REF!</definedName>
    <definedName name="_STK2">#REF!</definedName>
    <definedName name="_STK3" localSheetId="33">#REF!</definedName>
    <definedName name="_STK3" localSheetId="1">#REF!</definedName>
    <definedName name="_STK3" localSheetId="19">#REF!</definedName>
    <definedName name="_STK3" localSheetId="15">#REF!</definedName>
    <definedName name="_STK3" localSheetId="34">#REF!</definedName>
    <definedName name="_STK3" localSheetId="32">#REF!</definedName>
    <definedName name="_STK3" localSheetId="35">#REF!</definedName>
    <definedName name="_STK3" localSheetId="0">#REF!</definedName>
    <definedName name="_STK3" localSheetId="13">#REF!</definedName>
    <definedName name="_STK3">#REF!</definedName>
    <definedName name="_WA0005" localSheetId="1">'[17]TB WORLI'!#REF!</definedName>
    <definedName name="_WA0005" localSheetId="15">'[17]TB WORLI'!#REF!</definedName>
    <definedName name="_WA0005" localSheetId="0">'[17]TB WORLI'!#REF!</definedName>
    <definedName name="_WA0005">'[17]TB WORLI'!#REF!</definedName>
    <definedName name="_WA0015" localSheetId="1">'[17]TB WORLI'!#REF!</definedName>
    <definedName name="_WA0015" localSheetId="15">'[17]TB WORLI'!#REF!</definedName>
    <definedName name="_WA0015" localSheetId="0">'[17]TB WORLI'!#REF!</definedName>
    <definedName name="_WA0015">'[17]TB WORLI'!#REF!</definedName>
    <definedName name="_WA00212" localSheetId="1">'[17]TB WORLI'!#REF!</definedName>
    <definedName name="_WA00212" localSheetId="15">'[17]TB WORLI'!#REF!</definedName>
    <definedName name="_WA00212" localSheetId="0">'[17]TB WORLI'!#REF!</definedName>
    <definedName name="_WA00212">'[17]TB WORLI'!#REF!</definedName>
    <definedName name="_WA00223" localSheetId="1">'[17]TB WORLI'!#REF!</definedName>
    <definedName name="_WA00223" localSheetId="15">'[17]TB WORLI'!#REF!</definedName>
    <definedName name="_WA00223" localSheetId="0">'[17]TB WORLI'!#REF!</definedName>
    <definedName name="_WA00223">'[17]TB WORLI'!#REF!</definedName>
    <definedName name="_WA00231" localSheetId="1">'[17]TB WORLI'!#REF!</definedName>
    <definedName name="_WA00231" localSheetId="15">'[17]TB WORLI'!#REF!</definedName>
    <definedName name="_WA00231" localSheetId="0">'[17]TB WORLI'!#REF!</definedName>
    <definedName name="_WA00231">'[17]TB WORLI'!#REF!</definedName>
    <definedName name="_WA00237" localSheetId="1">'[17]TB WORLI'!#REF!</definedName>
    <definedName name="_WA00237" localSheetId="15">'[17]TB WORLI'!#REF!</definedName>
    <definedName name="_WA00237" localSheetId="0">'[17]TB WORLI'!#REF!</definedName>
    <definedName name="_WA00237">'[17]TB WORLI'!#REF!</definedName>
    <definedName name="_WA0026" localSheetId="1">'[17]TB WORLI'!#REF!</definedName>
    <definedName name="_WA0026" localSheetId="15">'[17]TB WORLI'!#REF!</definedName>
    <definedName name="_WA0026" localSheetId="0">'[17]TB WORLI'!#REF!</definedName>
    <definedName name="_WA0026">'[17]TB WORLI'!#REF!</definedName>
    <definedName name="_WA00273" localSheetId="1">'[17]TB WORLI'!#REF!</definedName>
    <definedName name="_WA00273" localSheetId="15">'[17]TB WORLI'!#REF!</definedName>
    <definedName name="_WA00273" localSheetId="0">'[17]TB WORLI'!#REF!</definedName>
    <definedName name="_WA00273">'[17]TB WORLI'!#REF!</definedName>
    <definedName name="_WA00288" localSheetId="1">'[17]TB WORLI'!#REF!</definedName>
    <definedName name="_WA00288" localSheetId="15">'[17]TB WORLI'!#REF!</definedName>
    <definedName name="_WA00288" localSheetId="0">'[17]TB WORLI'!#REF!</definedName>
    <definedName name="_WA00288">'[17]TB WORLI'!#REF!</definedName>
    <definedName name="_WA00291" localSheetId="1">'[17]TB WORLI'!#REF!</definedName>
    <definedName name="_WA00291" localSheetId="15">'[17]TB WORLI'!#REF!</definedName>
    <definedName name="_WA00291" localSheetId="0">'[17]TB WORLI'!#REF!</definedName>
    <definedName name="_WA00291">'[17]TB WORLI'!#REF!</definedName>
    <definedName name="_WA00294" localSheetId="1">'[17]TB WORLI'!#REF!</definedName>
    <definedName name="_WA00294" localSheetId="15">'[17]TB WORLI'!#REF!</definedName>
    <definedName name="_WA00294" localSheetId="0">'[17]TB WORLI'!#REF!</definedName>
    <definedName name="_WA00294">'[17]TB WORLI'!#REF!</definedName>
    <definedName name="_WA00295" localSheetId="1">'[17]TB WORLI'!#REF!</definedName>
    <definedName name="_WA00295" localSheetId="15">'[17]TB WORLI'!#REF!</definedName>
    <definedName name="_WA00295" localSheetId="0">'[17]TB WORLI'!#REF!</definedName>
    <definedName name="_WA00295">'[17]TB WORLI'!#REF!</definedName>
    <definedName name="_WA00298" localSheetId="1">'[17]TB WORLI'!#REF!</definedName>
    <definedName name="_WA00298" localSheetId="15">'[17]TB WORLI'!#REF!</definedName>
    <definedName name="_WA00298" localSheetId="0">'[17]TB WORLI'!#REF!</definedName>
    <definedName name="_WA00298">'[17]TB WORLI'!#REF!</definedName>
    <definedName name="_WA00301" localSheetId="1">'[17]TB WORLI'!#REF!</definedName>
    <definedName name="_WA00301" localSheetId="15">'[17]TB WORLI'!#REF!</definedName>
    <definedName name="_WA00301" localSheetId="0">'[17]TB WORLI'!#REF!</definedName>
    <definedName name="_WA00301">'[17]TB WORLI'!#REF!</definedName>
    <definedName name="_WA00302" localSheetId="1">'[17]TB WORLI'!#REF!</definedName>
    <definedName name="_WA00302" localSheetId="15">'[17]TB WORLI'!#REF!</definedName>
    <definedName name="_WA00302" localSheetId="0">'[17]TB WORLI'!#REF!</definedName>
    <definedName name="_WA00302">'[17]TB WORLI'!#REF!</definedName>
    <definedName name="_WA00306" localSheetId="1">'[17]TB WORLI'!#REF!</definedName>
    <definedName name="_WA00306" localSheetId="15">'[17]TB WORLI'!#REF!</definedName>
    <definedName name="_WA00306" localSheetId="0">'[17]TB WORLI'!#REF!</definedName>
    <definedName name="_WA00306">'[17]TB WORLI'!#REF!</definedName>
    <definedName name="_WA00307" localSheetId="1">'[17]TB WORLI'!#REF!</definedName>
    <definedName name="_WA00307" localSheetId="15">'[17]TB WORLI'!#REF!</definedName>
    <definedName name="_WA00307" localSheetId="0">'[17]TB WORLI'!#REF!</definedName>
    <definedName name="_WA00307">'[17]TB WORLI'!#REF!</definedName>
    <definedName name="_WA00308" localSheetId="1">'[17]TB WORLI'!#REF!</definedName>
    <definedName name="_WA00308" localSheetId="15">'[17]TB WORLI'!#REF!</definedName>
    <definedName name="_WA00308" localSheetId="0">'[17]TB WORLI'!#REF!</definedName>
    <definedName name="_WA00308">'[17]TB WORLI'!#REF!</definedName>
    <definedName name="_WA00310" localSheetId="1">'[17]TB WORLI'!#REF!</definedName>
    <definedName name="_WA00310" localSheetId="15">'[17]TB WORLI'!#REF!</definedName>
    <definedName name="_WA00310" localSheetId="0">'[17]TB WORLI'!#REF!</definedName>
    <definedName name="_WA00310">'[17]TB WORLI'!#REF!</definedName>
    <definedName name="_WA00318" localSheetId="1">'[17]TB WORLI'!#REF!</definedName>
    <definedName name="_WA00318" localSheetId="15">'[17]TB WORLI'!#REF!</definedName>
    <definedName name="_WA00318" localSheetId="0">'[17]TB WORLI'!#REF!</definedName>
    <definedName name="_WA00318">'[17]TB WORLI'!#REF!</definedName>
    <definedName name="_WA00321" localSheetId="1">'[17]TB WORLI'!#REF!</definedName>
    <definedName name="_WA00321" localSheetId="15">'[17]TB WORLI'!#REF!</definedName>
    <definedName name="_WA00321" localSheetId="0">'[17]TB WORLI'!#REF!</definedName>
    <definedName name="_WA00321">'[17]TB WORLI'!#REF!</definedName>
    <definedName name="_WA00324" localSheetId="1">'[17]TB WORLI'!#REF!</definedName>
    <definedName name="_WA00324" localSheetId="15">'[17]TB WORLI'!#REF!</definedName>
    <definedName name="_WA00324" localSheetId="0">'[17]TB WORLI'!#REF!</definedName>
    <definedName name="_WA00324">'[17]TB WORLI'!#REF!</definedName>
    <definedName name="_WA00325" localSheetId="1">'[17]TB WORLI'!#REF!</definedName>
    <definedName name="_WA00325" localSheetId="15">'[17]TB WORLI'!#REF!</definedName>
    <definedName name="_WA00325" localSheetId="0">'[17]TB WORLI'!#REF!</definedName>
    <definedName name="_WA00325">'[17]TB WORLI'!#REF!</definedName>
    <definedName name="_WA00326" localSheetId="1">'[17]TB WORLI'!#REF!</definedName>
    <definedName name="_WA00326" localSheetId="15">'[17]TB WORLI'!#REF!</definedName>
    <definedName name="_WA00326" localSheetId="0">'[17]TB WORLI'!#REF!</definedName>
    <definedName name="_WA00326">'[17]TB WORLI'!#REF!</definedName>
    <definedName name="_WA00327" localSheetId="1">'[17]TB WORLI'!#REF!</definedName>
    <definedName name="_WA00327" localSheetId="15">'[17]TB WORLI'!#REF!</definedName>
    <definedName name="_WA00327" localSheetId="0">'[17]TB WORLI'!#REF!</definedName>
    <definedName name="_WA00327">'[17]TB WORLI'!#REF!</definedName>
    <definedName name="_WA00328" localSheetId="1">'[17]TB WORLI'!#REF!</definedName>
    <definedName name="_WA00328" localSheetId="15">'[17]TB WORLI'!#REF!</definedName>
    <definedName name="_WA00328" localSheetId="0">'[17]TB WORLI'!#REF!</definedName>
    <definedName name="_WA00328">'[17]TB WORLI'!#REF!</definedName>
    <definedName name="_WA00329" localSheetId="1">'[17]TB WORLI'!#REF!</definedName>
    <definedName name="_WA00329" localSheetId="15">'[17]TB WORLI'!#REF!</definedName>
    <definedName name="_WA00329" localSheetId="0">'[17]TB WORLI'!#REF!</definedName>
    <definedName name="_WA00329">'[17]TB WORLI'!#REF!</definedName>
    <definedName name="_WA00330" localSheetId="1">'[17]TB WORLI'!#REF!</definedName>
    <definedName name="_WA00330" localSheetId="15">'[17]TB WORLI'!#REF!</definedName>
    <definedName name="_WA00330" localSheetId="0">'[17]TB WORLI'!#REF!</definedName>
    <definedName name="_WA00330">'[17]TB WORLI'!#REF!</definedName>
    <definedName name="_WA00332" localSheetId="1">'[17]TB WORLI'!#REF!</definedName>
    <definedName name="_WA00332" localSheetId="15">'[17]TB WORLI'!#REF!</definedName>
    <definedName name="_WA00332" localSheetId="0">'[17]TB WORLI'!#REF!</definedName>
    <definedName name="_WA00332">'[17]TB WORLI'!#REF!</definedName>
    <definedName name="_WA00337" localSheetId="1">'[17]TB WORLI'!#REF!</definedName>
    <definedName name="_WA00337" localSheetId="15">'[17]TB WORLI'!#REF!</definedName>
    <definedName name="_WA00337" localSheetId="0">'[17]TB WORLI'!#REF!</definedName>
    <definedName name="_WA00337">'[17]TB WORLI'!#REF!</definedName>
    <definedName name="_WA00338" localSheetId="1">'[17]TB WORLI'!#REF!</definedName>
    <definedName name="_WA00338" localSheetId="15">'[17]TB WORLI'!#REF!</definedName>
    <definedName name="_WA00338" localSheetId="0">'[17]TB WORLI'!#REF!</definedName>
    <definedName name="_WA00338">'[17]TB WORLI'!#REF!</definedName>
    <definedName name="_WA00361" localSheetId="1">'[17]TB WORLI'!#REF!</definedName>
    <definedName name="_WA00361" localSheetId="15">'[17]TB WORLI'!#REF!</definedName>
    <definedName name="_WA00361" localSheetId="0">'[17]TB WORLI'!#REF!</definedName>
    <definedName name="_WA00361">'[17]TB WORLI'!#REF!</definedName>
    <definedName name="_WA00362" localSheetId="1">'[17]TB WORLI'!#REF!</definedName>
    <definedName name="_WA00362" localSheetId="15">'[17]TB WORLI'!#REF!</definedName>
    <definedName name="_WA00362" localSheetId="0">'[17]TB WORLI'!#REF!</definedName>
    <definedName name="_WA00362">'[17]TB WORLI'!#REF!</definedName>
    <definedName name="_WA00367" localSheetId="1">'[17]TB WORLI'!#REF!</definedName>
    <definedName name="_WA00367" localSheetId="15">'[17]TB WORLI'!#REF!</definedName>
    <definedName name="_WA00367" localSheetId="0">'[17]TB WORLI'!#REF!</definedName>
    <definedName name="_WA00367">'[17]TB WORLI'!#REF!</definedName>
    <definedName name="_WA00368" localSheetId="1">'[17]TB WORLI'!#REF!</definedName>
    <definedName name="_WA00368" localSheetId="15">'[17]TB WORLI'!#REF!</definedName>
    <definedName name="_WA00368" localSheetId="0">'[17]TB WORLI'!#REF!</definedName>
    <definedName name="_WA00368">'[17]TB WORLI'!#REF!</definedName>
    <definedName name="_WA00369" localSheetId="1">'[17]TB WORLI'!#REF!</definedName>
    <definedName name="_WA00369" localSheetId="15">'[17]TB WORLI'!#REF!</definedName>
    <definedName name="_WA00369" localSheetId="0">'[17]TB WORLI'!#REF!</definedName>
    <definedName name="_WA00369">'[17]TB WORLI'!#REF!</definedName>
    <definedName name="_WA00370" localSheetId="1">'[17]TB WORLI'!#REF!</definedName>
    <definedName name="_WA00370" localSheetId="15">'[17]TB WORLI'!#REF!</definedName>
    <definedName name="_WA00370" localSheetId="0">'[17]TB WORLI'!#REF!</definedName>
    <definedName name="_WA00370">'[17]TB WORLI'!#REF!</definedName>
    <definedName name="_WA00372" localSheetId="1">'[17]TB WORLI'!#REF!</definedName>
    <definedName name="_WA00372" localSheetId="15">'[17]TB WORLI'!#REF!</definedName>
    <definedName name="_WA00372" localSheetId="0">'[17]TB WORLI'!#REF!</definedName>
    <definedName name="_WA00372">'[17]TB WORLI'!#REF!</definedName>
    <definedName name="_WA00373" localSheetId="1">'[17]TB WORLI'!#REF!</definedName>
    <definedName name="_WA00373" localSheetId="15">'[17]TB WORLI'!#REF!</definedName>
    <definedName name="_WA00373" localSheetId="0">'[17]TB WORLI'!#REF!</definedName>
    <definedName name="_WA00373">'[17]TB WORLI'!#REF!</definedName>
    <definedName name="_WA00374" localSheetId="1">'[17]TB WORLI'!#REF!</definedName>
    <definedName name="_WA00374" localSheetId="15">'[17]TB WORLI'!#REF!</definedName>
    <definedName name="_WA00374" localSheetId="0">'[17]TB WORLI'!#REF!</definedName>
    <definedName name="_WA00374">'[17]TB WORLI'!#REF!</definedName>
    <definedName name="_WA00375" localSheetId="1">'[17]TB WORLI'!#REF!</definedName>
    <definedName name="_WA00375" localSheetId="15">'[17]TB WORLI'!#REF!</definedName>
    <definedName name="_WA00375" localSheetId="0">'[17]TB WORLI'!#REF!</definedName>
    <definedName name="_WA00375">'[17]TB WORLI'!#REF!</definedName>
    <definedName name="_WA00376" localSheetId="1">'[17]TB WORLI'!#REF!</definedName>
    <definedName name="_WA00376" localSheetId="15">'[17]TB WORLI'!#REF!</definedName>
    <definedName name="_WA00376" localSheetId="0">'[17]TB WORLI'!#REF!</definedName>
    <definedName name="_WA00376">'[17]TB WORLI'!#REF!</definedName>
    <definedName name="_WA00377" localSheetId="1">'[17]TB WORLI'!#REF!</definedName>
    <definedName name="_WA00377" localSheetId="15">'[17]TB WORLI'!#REF!</definedName>
    <definedName name="_WA00377" localSheetId="0">'[17]TB WORLI'!#REF!</definedName>
    <definedName name="_WA00377">'[17]TB WORLI'!#REF!</definedName>
    <definedName name="_WA00378" localSheetId="1">'[17]TB WORLI'!#REF!</definedName>
    <definedName name="_WA00378" localSheetId="15">'[17]TB WORLI'!#REF!</definedName>
    <definedName name="_WA00378" localSheetId="0">'[17]TB WORLI'!#REF!</definedName>
    <definedName name="_WA00378">'[17]TB WORLI'!#REF!</definedName>
    <definedName name="_WA00379" localSheetId="1">'[17]TB WORLI'!#REF!</definedName>
    <definedName name="_WA00379" localSheetId="15">'[17]TB WORLI'!#REF!</definedName>
    <definedName name="_WA00379" localSheetId="0">'[17]TB WORLI'!#REF!</definedName>
    <definedName name="_WA00379">'[17]TB WORLI'!#REF!</definedName>
    <definedName name="_WA0038" localSheetId="1">'[17]TB WORLI'!#REF!</definedName>
    <definedName name="_WA0038" localSheetId="15">'[17]TB WORLI'!#REF!</definedName>
    <definedName name="_WA0038" localSheetId="0">'[17]TB WORLI'!#REF!</definedName>
    <definedName name="_WA0038">'[17]TB WORLI'!#REF!</definedName>
    <definedName name="_WA00380" localSheetId="1">'[17]TB WORLI'!#REF!</definedName>
    <definedName name="_WA00380" localSheetId="15">'[17]TB WORLI'!#REF!</definedName>
    <definedName name="_WA00380" localSheetId="0">'[17]TB WORLI'!#REF!</definedName>
    <definedName name="_WA00380">'[17]TB WORLI'!#REF!</definedName>
    <definedName name="_WA00381" localSheetId="1">'[17]TB WORLI'!#REF!</definedName>
    <definedName name="_WA00381" localSheetId="15">'[17]TB WORLI'!#REF!</definedName>
    <definedName name="_WA00381" localSheetId="0">'[17]TB WORLI'!#REF!</definedName>
    <definedName name="_WA00381">'[17]TB WORLI'!#REF!</definedName>
    <definedName name="_WA00382" localSheetId="1">'[17]TB WORLI'!#REF!</definedName>
    <definedName name="_WA00382" localSheetId="15">'[17]TB WORLI'!#REF!</definedName>
    <definedName name="_WA00382" localSheetId="0">'[17]TB WORLI'!#REF!</definedName>
    <definedName name="_WA00382">'[17]TB WORLI'!#REF!</definedName>
    <definedName name="_WA00386" localSheetId="1">'[17]TB WORLI'!#REF!</definedName>
    <definedName name="_WA00386" localSheetId="15">'[17]TB WORLI'!#REF!</definedName>
    <definedName name="_WA00386" localSheetId="0">'[17]TB WORLI'!#REF!</definedName>
    <definedName name="_WA00386">'[17]TB WORLI'!#REF!</definedName>
    <definedName name="_WA00387" localSheetId="1">'[17]TB WORLI'!#REF!</definedName>
    <definedName name="_WA00387" localSheetId="15">'[17]TB WORLI'!#REF!</definedName>
    <definedName name="_WA00387" localSheetId="0">'[17]TB WORLI'!#REF!</definedName>
    <definedName name="_WA00387">'[17]TB WORLI'!#REF!</definedName>
    <definedName name="_WA00388" localSheetId="1">'[17]TB WORLI'!#REF!</definedName>
    <definedName name="_WA00388" localSheetId="15">'[17]TB WORLI'!#REF!</definedName>
    <definedName name="_WA00388" localSheetId="0">'[17]TB WORLI'!#REF!</definedName>
    <definedName name="_WA00388">'[17]TB WORLI'!#REF!</definedName>
    <definedName name="_WA00389" localSheetId="1">'[17]TB WORLI'!#REF!</definedName>
    <definedName name="_WA00389" localSheetId="15">'[17]TB WORLI'!#REF!</definedName>
    <definedName name="_WA00389" localSheetId="0">'[17]TB WORLI'!#REF!</definedName>
    <definedName name="_WA00389">'[17]TB WORLI'!#REF!</definedName>
    <definedName name="_WA00390" localSheetId="1">'[17]TB WORLI'!#REF!</definedName>
    <definedName name="_WA00390" localSheetId="15">'[17]TB WORLI'!#REF!</definedName>
    <definedName name="_WA00390" localSheetId="0">'[17]TB WORLI'!#REF!</definedName>
    <definedName name="_WA00390">'[17]TB WORLI'!#REF!</definedName>
    <definedName name="_WA00392" localSheetId="1">'[17]TB WORLI'!#REF!</definedName>
    <definedName name="_WA00392" localSheetId="15">'[17]TB WORLI'!#REF!</definedName>
    <definedName name="_WA00392" localSheetId="0">'[17]TB WORLI'!#REF!</definedName>
    <definedName name="_WA00392">'[17]TB WORLI'!#REF!</definedName>
    <definedName name="_WA00397" localSheetId="1">'[17]TB WORLI'!#REF!</definedName>
    <definedName name="_WA00397" localSheetId="15">'[17]TB WORLI'!#REF!</definedName>
    <definedName name="_WA00397" localSheetId="0">'[17]TB WORLI'!#REF!</definedName>
    <definedName name="_WA00397">'[17]TB WORLI'!#REF!</definedName>
    <definedName name="_WA00400" localSheetId="1">'[17]TB WORLI'!#REF!</definedName>
    <definedName name="_WA00400" localSheetId="15">'[17]TB WORLI'!#REF!</definedName>
    <definedName name="_WA00400" localSheetId="0">'[17]TB WORLI'!#REF!</definedName>
    <definedName name="_WA00400">'[17]TB WORLI'!#REF!</definedName>
    <definedName name="_WA00402" localSheetId="1">'[17]TB WORLI'!#REF!</definedName>
    <definedName name="_WA00402" localSheetId="15">'[17]TB WORLI'!#REF!</definedName>
    <definedName name="_WA00402" localSheetId="0">'[17]TB WORLI'!#REF!</definedName>
    <definedName name="_WA00402">'[17]TB WORLI'!#REF!</definedName>
    <definedName name="_WA00420" localSheetId="1">'[17]TB WORLI'!#REF!</definedName>
    <definedName name="_WA00420" localSheetId="15">'[17]TB WORLI'!#REF!</definedName>
    <definedName name="_WA00420" localSheetId="0">'[17]TB WORLI'!#REF!</definedName>
    <definedName name="_WA00420">'[17]TB WORLI'!#REF!</definedName>
    <definedName name="_WA00434" localSheetId="1">'[17]TB WORLI'!#REF!</definedName>
    <definedName name="_WA00434" localSheetId="15">'[17]TB WORLI'!#REF!</definedName>
    <definedName name="_WA00434" localSheetId="0">'[17]TB WORLI'!#REF!</definedName>
    <definedName name="_WA00434">'[17]TB WORLI'!#REF!</definedName>
    <definedName name="_WA00435" localSheetId="1">'[17]TB WORLI'!#REF!</definedName>
    <definedName name="_WA00435" localSheetId="15">'[17]TB WORLI'!#REF!</definedName>
    <definedName name="_WA00435" localSheetId="0">'[17]TB WORLI'!#REF!</definedName>
    <definedName name="_WA00435">'[17]TB WORLI'!#REF!</definedName>
    <definedName name="_WA00436" localSheetId="1">'[17]TB WORLI'!#REF!</definedName>
    <definedName name="_WA00436" localSheetId="15">'[17]TB WORLI'!#REF!</definedName>
    <definedName name="_WA00436" localSheetId="0">'[17]TB WORLI'!#REF!</definedName>
    <definedName name="_WA00436">'[17]TB WORLI'!#REF!</definedName>
    <definedName name="_WA00437" localSheetId="1">'[17]TB WORLI'!#REF!</definedName>
    <definedName name="_WA00437" localSheetId="15">'[17]TB WORLI'!#REF!</definedName>
    <definedName name="_WA00437" localSheetId="0">'[17]TB WORLI'!#REF!</definedName>
    <definedName name="_WA00437">'[17]TB WORLI'!#REF!</definedName>
    <definedName name="_WA00439" localSheetId="1">'[17]TB WORLI'!#REF!</definedName>
    <definedName name="_WA00439" localSheetId="15">'[17]TB WORLI'!#REF!</definedName>
    <definedName name="_WA00439" localSheetId="0">'[17]TB WORLI'!#REF!</definedName>
    <definedName name="_WA00439">'[17]TB WORLI'!#REF!</definedName>
    <definedName name="_WA00440" localSheetId="1">'[17]TB WORLI'!#REF!</definedName>
    <definedName name="_WA00440" localSheetId="15">'[17]TB WORLI'!#REF!</definedName>
    <definedName name="_WA00440" localSheetId="0">'[17]TB WORLI'!#REF!</definedName>
    <definedName name="_WA00440">'[17]TB WORLI'!#REF!</definedName>
    <definedName name="_WA00441" localSheetId="1">'[17]TB WORLI'!#REF!</definedName>
    <definedName name="_WA00441" localSheetId="15">'[17]TB WORLI'!#REF!</definedName>
    <definedName name="_WA00441" localSheetId="0">'[17]TB WORLI'!#REF!</definedName>
    <definedName name="_WA00441">'[17]TB WORLI'!#REF!</definedName>
    <definedName name="_WA00442" localSheetId="1">'[17]TB WORLI'!#REF!</definedName>
    <definedName name="_WA00442" localSheetId="15">'[17]TB WORLI'!#REF!</definedName>
    <definedName name="_WA00442" localSheetId="0">'[17]TB WORLI'!#REF!</definedName>
    <definedName name="_WA00442">'[17]TB WORLI'!#REF!</definedName>
    <definedName name="_WA00444" localSheetId="1">'[17]TB WORLI'!#REF!</definedName>
    <definedName name="_WA00444" localSheetId="15">'[17]TB WORLI'!#REF!</definedName>
    <definedName name="_WA00444" localSheetId="0">'[17]TB WORLI'!#REF!</definedName>
    <definedName name="_WA00444">'[17]TB WORLI'!#REF!</definedName>
    <definedName name="_WA00445" localSheetId="1">'[17]TB WORLI'!#REF!</definedName>
    <definedName name="_WA00445" localSheetId="15">'[17]TB WORLI'!#REF!</definedName>
    <definedName name="_WA00445" localSheetId="0">'[17]TB WORLI'!#REF!</definedName>
    <definedName name="_WA00445">'[17]TB WORLI'!#REF!</definedName>
    <definedName name="_WA00446" localSheetId="1">'[17]TB WORLI'!#REF!</definedName>
    <definedName name="_WA00446" localSheetId="15">'[17]TB WORLI'!#REF!</definedName>
    <definedName name="_WA00446" localSheetId="0">'[17]TB WORLI'!#REF!</definedName>
    <definedName name="_WA00446">'[17]TB WORLI'!#REF!</definedName>
    <definedName name="_WA00447" localSheetId="1">'[17]TB WORLI'!#REF!</definedName>
    <definedName name="_WA00447" localSheetId="15">'[17]TB WORLI'!#REF!</definedName>
    <definedName name="_WA00447" localSheetId="0">'[17]TB WORLI'!#REF!</definedName>
    <definedName name="_WA00447">'[17]TB WORLI'!#REF!</definedName>
    <definedName name="_WA00452" localSheetId="1">'[17]TB WORLI'!#REF!</definedName>
    <definedName name="_WA00452" localSheetId="15">'[17]TB WORLI'!#REF!</definedName>
    <definedName name="_WA00452" localSheetId="0">'[17]TB WORLI'!#REF!</definedName>
    <definedName name="_WA00452">'[17]TB WORLI'!#REF!</definedName>
    <definedName name="_WA00454" localSheetId="1">'[17]TB WORLI'!#REF!</definedName>
    <definedName name="_WA00454" localSheetId="15">'[17]TB WORLI'!#REF!</definedName>
    <definedName name="_WA00454" localSheetId="0">'[17]TB WORLI'!#REF!</definedName>
    <definedName name="_WA00454">'[17]TB WORLI'!#REF!</definedName>
    <definedName name="_WA0049" localSheetId="1">'[17]TB WORLI'!#REF!</definedName>
    <definedName name="_WA0049" localSheetId="15">'[17]TB WORLI'!#REF!</definedName>
    <definedName name="_WA0049" localSheetId="0">'[17]TB WORLI'!#REF!</definedName>
    <definedName name="_WA0049">'[17]TB WORLI'!#REF!</definedName>
    <definedName name="_WA0065" localSheetId="1">'[17]TB WORLI'!#REF!</definedName>
    <definedName name="_WA0065" localSheetId="15">'[17]TB WORLI'!#REF!</definedName>
    <definedName name="_WA0065" localSheetId="0">'[17]TB WORLI'!#REF!</definedName>
    <definedName name="_WA0065">'[17]TB WORLI'!#REF!</definedName>
    <definedName name="_WA0131" localSheetId="1">'[17]TB WORLI'!#REF!</definedName>
    <definedName name="_WA0131" localSheetId="15">'[17]TB WORLI'!#REF!</definedName>
    <definedName name="_WA0131" localSheetId="0">'[17]TB WORLI'!#REF!</definedName>
    <definedName name="_WA0131">'[17]TB WORLI'!#REF!</definedName>
    <definedName name="_WA0142" localSheetId="1">'[17]TB WORLI'!#REF!</definedName>
    <definedName name="_WA0142" localSheetId="15">'[17]TB WORLI'!#REF!</definedName>
    <definedName name="_WA0142" localSheetId="0">'[17]TB WORLI'!#REF!</definedName>
    <definedName name="_WA0142">'[17]TB WORLI'!#REF!</definedName>
    <definedName name="_WDR_" localSheetId="1">#REF!</definedName>
    <definedName name="_WDR_" localSheetId="15">#REF!</definedName>
    <definedName name="_WDR_" localSheetId="34">#REF!</definedName>
    <definedName name="_WDR_" localSheetId="0">#REF!</definedName>
    <definedName name="_WDR_">#REF!</definedName>
    <definedName name="_WE00250" localSheetId="1">'[17]TB WORLI'!#REF!</definedName>
    <definedName name="_WE00250" localSheetId="15">'[17]TB WORLI'!#REF!</definedName>
    <definedName name="_WE00250" localSheetId="34">'[17]TB WORLI'!#REF!</definedName>
    <definedName name="_WE00250" localSheetId="0">'[17]TB WORLI'!#REF!</definedName>
    <definedName name="_WE00250">'[17]TB WORLI'!#REF!</definedName>
    <definedName name="_WE00251" localSheetId="1">'[17]TB WORLI'!#REF!</definedName>
    <definedName name="_WE00251" localSheetId="15">'[17]TB WORLI'!#REF!</definedName>
    <definedName name="_WE00251" localSheetId="34">'[17]TB WORLI'!#REF!</definedName>
    <definedName name="_WE00251" localSheetId="0">'[17]TB WORLI'!#REF!</definedName>
    <definedName name="_WE00251">'[17]TB WORLI'!#REF!</definedName>
    <definedName name="_WE00281" localSheetId="1">'[17]TB WORLI'!#REF!</definedName>
    <definedName name="_WE00281" localSheetId="15">'[17]TB WORLI'!#REF!</definedName>
    <definedName name="_WE00281" localSheetId="0">'[17]TB WORLI'!#REF!</definedName>
    <definedName name="_WE00281">'[17]TB WORLI'!#REF!</definedName>
    <definedName name="_WE00289" localSheetId="1">'[17]TB WORLI'!#REF!</definedName>
    <definedName name="_WE00289" localSheetId="15">'[17]TB WORLI'!#REF!</definedName>
    <definedName name="_WE00289" localSheetId="0">'[17]TB WORLI'!#REF!</definedName>
    <definedName name="_WE00289">'[17]TB WORLI'!#REF!</definedName>
    <definedName name="_WE0159" localSheetId="1">'[17]TB WORLI'!#REF!</definedName>
    <definedName name="_WE0159" localSheetId="15">'[17]TB WORLI'!#REF!</definedName>
    <definedName name="_WE0159" localSheetId="0">'[17]TB WORLI'!#REF!</definedName>
    <definedName name="_WE0159">'[17]TB WORLI'!#REF!</definedName>
    <definedName name="_WE0160" localSheetId="1">'[17]TB WORLI'!#REF!</definedName>
    <definedName name="_WE0160" localSheetId="15">'[17]TB WORLI'!#REF!</definedName>
    <definedName name="_WE0160" localSheetId="0">'[17]TB WORLI'!#REF!</definedName>
    <definedName name="_WE0160">'[17]TB WORLI'!#REF!</definedName>
    <definedName name="_WE0211" localSheetId="1">'[17]TB WORLI'!#REF!</definedName>
    <definedName name="_WE0211" localSheetId="15">'[17]TB WORLI'!#REF!</definedName>
    <definedName name="_WE0211" localSheetId="0">'[17]TB WORLI'!#REF!</definedName>
    <definedName name="_WE0211">'[17]TB WORLI'!#REF!</definedName>
    <definedName name="_WE0219" localSheetId="1">'[17]TB WORLI'!#REF!</definedName>
    <definedName name="_WE0219" localSheetId="15">'[17]TB WORLI'!#REF!</definedName>
    <definedName name="_WE0219" localSheetId="0">'[17]TB WORLI'!#REF!</definedName>
    <definedName name="_WE0219">'[17]TB WORLI'!#REF!</definedName>
    <definedName name="_WE0225" localSheetId="1">'[17]TB WORLI'!#REF!</definedName>
    <definedName name="_WE0225" localSheetId="15">'[17]TB WORLI'!#REF!</definedName>
    <definedName name="_WE0225" localSheetId="0">'[17]TB WORLI'!#REF!</definedName>
    <definedName name="_WE0225">'[17]TB WORLI'!#REF!</definedName>
    <definedName name="_WE0232" localSheetId="1">'[17]TB WORLI'!#REF!</definedName>
    <definedName name="_WE0232" localSheetId="15">'[17]TB WORLI'!#REF!</definedName>
    <definedName name="_WE0232" localSheetId="0">'[17]TB WORLI'!#REF!</definedName>
    <definedName name="_WE0232">'[17]TB WORLI'!#REF!</definedName>
    <definedName name="_WE0243" localSheetId="1">'[17]TB WORLI'!#REF!</definedName>
    <definedName name="_WE0243" localSheetId="15">'[17]TB WORLI'!#REF!</definedName>
    <definedName name="_WE0243" localSheetId="0">'[17]TB WORLI'!#REF!</definedName>
    <definedName name="_WE0243">'[17]TB WORLI'!#REF!</definedName>
    <definedName name="_WI00296" localSheetId="1">'[17]TB WORLI'!#REF!</definedName>
    <definedName name="_WI00296" localSheetId="15">'[17]TB WORLI'!#REF!</definedName>
    <definedName name="_WI00296" localSheetId="0">'[17]TB WORLI'!#REF!</definedName>
    <definedName name="_WI00296">'[17]TB WORLI'!#REF!</definedName>
    <definedName name="_WI00298" localSheetId="1">'[17]TB WORLI'!#REF!</definedName>
    <definedName name="_WI00298" localSheetId="15">'[17]TB WORLI'!#REF!</definedName>
    <definedName name="_WI00298" localSheetId="0">'[17]TB WORLI'!#REF!</definedName>
    <definedName name="_WI00298">'[17]TB WORLI'!#REF!</definedName>
    <definedName name="_WI00319" localSheetId="1">'[17]TB WORLI'!#REF!</definedName>
    <definedName name="_WI00319" localSheetId="15">'[17]TB WORLI'!#REF!</definedName>
    <definedName name="_WI00319" localSheetId="0">'[17]TB WORLI'!#REF!</definedName>
    <definedName name="_WI00319">'[17]TB WORLI'!#REF!</definedName>
    <definedName name="_WI00320" localSheetId="1">'[17]TB WORLI'!#REF!</definedName>
    <definedName name="_WI00320" localSheetId="15">'[17]TB WORLI'!#REF!</definedName>
    <definedName name="_WI00320" localSheetId="0">'[17]TB WORLI'!#REF!</definedName>
    <definedName name="_WI00320">'[17]TB WORLI'!#REF!</definedName>
    <definedName name="_WI00321" localSheetId="1">'[17]TB WORLI'!#REF!</definedName>
    <definedName name="_WI00321" localSheetId="15">'[17]TB WORLI'!#REF!</definedName>
    <definedName name="_WI00321" localSheetId="0">'[17]TB WORLI'!#REF!</definedName>
    <definedName name="_WI00321">'[17]TB WORLI'!#REF!</definedName>
    <definedName name="_WI0256" localSheetId="1">'[17]TB WORLI'!#REF!</definedName>
    <definedName name="_WI0256" localSheetId="15">'[17]TB WORLI'!#REF!</definedName>
    <definedName name="_WI0256" localSheetId="0">'[17]TB WORLI'!#REF!</definedName>
    <definedName name="_WI0256">'[17]TB WORLI'!#REF!</definedName>
    <definedName name="_WI0286" localSheetId="1">'[17]TB WORLI'!#REF!</definedName>
    <definedName name="_WI0286" localSheetId="15">'[17]TB WORLI'!#REF!</definedName>
    <definedName name="_WI0286" localSheetId="0">'[17]TB WORLI'!#REF!</definedName>
    <definedName name="_WI0286">'[17]TB WORLI'!#REF!</definedName>
    <definedName name="_WL00382" localSheetId="1">'[17]TB WORLI'!#REF!</definedName>
    <definedName name="_WL00382" localSheetId="15">'[17]TB WORLI'!#REF!</definedName>
    <definedName name="_WL00382" localSheetId="0">'[17]TB WORLI'!#REF!</definedName>
    <definedName name="_WL00382">'[17]TB WORLI'!#REF!</definedName>
    <definedName name="_WL00623" localSheetId="1">'[17]TB WORLI'!#REF!</definedName>
    <definedName name="_WL00623" localSheetId="15">'[17]TB WORLI'!#REF!</definedName>
    <definedName name="_WL00623" localSheetId="0">'[17]TB WORLI'!#REF!</definedName>
    <definedName name="_WL00623">'[17]TB WORLI'!#REF!</definedName>
    <definedName name="_WL00655" localSheetId="1">'[17]TB WORLI'!#REF!</definedName>
    <definedName name="_WL00655" localSheetId="15">'[17]TB WORLI'!#REF!</definedName>
    <definedName name="_WL00655" localSheetId="0">'[17]TB WORLI'!#REF!</definedName>
    <definedName name="_WL00655">'[17]TB WORLI'!#REF!</definedName>
    <definedName name="_WL00664" localSheetId="1">'[17]TB WORLI'!#REF!</definedName>
    <definedName name="_WL00664" localSheetId="15">'[17]TB WORLI'!#REF!</definedName>
    <definedName name="_WL00664" localSheetId="0">'[17]TB WORLI'!#REF!</definedName>
    <definedName name="_WL00664">'[17]TB WORLI'!#REF!</definedName>
    <definedName name="_WL0333" localSheetId="1">'[17]TB WORLI'!#REF!</definedName>
    <definedName name="_WL0333" localSheetId="15">'[17]TB WORLI'!#REF!</definedName>
    <definedName name="_WL0333" localSheetId="0">'[17]TB WORLI'!#REF!</definedName>
    <definedName name="_WL0333">'[17]TB WORLI'!#REF!</definedName>
    <definedName name="_WL0342" localSheetId="1">'[17]TB WORLI'!#REF!</definedName>
    <definedName name="_WL0342" localSheetId="15">'[17]TB WORLI'!#REF!</definedName>
    <definedName name="_WL0342" localSheetId="0">'[17]TB WORLI'!#REF!</definedName>
    <definedName name="_WL0342">'[17]TB WORLI'!#REF!</definedName>
    <definedName name="_WL0355" localSheetId="1">'[17]TB WORLI'!#REF!</definedName>
    <definedName name="_WL0355" localSheetId="15">'[17]TB WORLI'!#REF!</definedName>
    <definedName name="_WL0355" localSheetId="0">'[17]TB WORLI'!#REF!</definedName>
    <definedName name="_WL0355">'[17]TB WORLI'!#REF!</definedName>
    <definedName name="A" localSheetId="33">#REF!</definedName>
    <definedName name="A" localSheetId="1">#REF!</definedName>
    <definedName name="A" localSheetId="19">#REF!</definedName>
    <definedName name="A" localSheetId="15">#REF!</definedName>
    <definedName name="a" localSheetId="34">#REF!</definedName>
    <definedName name="A" localSheetId="32">#REF!</definedName>
    <definedName name="A" localSheetId="35">#REF!</definedName>
    <definedName name="A" localSheetId="0">#REF!</definedName>
    <definedName name="A" localSheetId="13">#REF!</definedName>
    <definedName name="A">#REF!</definedName>
    <definedName name="A0002_">'[18]TB APJ'!$B$233</definedName>
    <definedName name="A0005_">'[18]TB APJ'!$B$7</definedName>
    <definedName name="A0007_">'[18]TB APJ'!$B$8</definedName>
    <definedName name="A0008_">'[18]TB APJ'!$B$9</definedName>
    <definedName name="A00167_" localSheetId="1">'[18]TB APJ'!#REF!</definedName>
    <definedName name="A00167_" localSheetId="15">'[18]TB APJ'!#REF!</definedName>
    <definedName name="A00167_" localSheetId="9">'[18]TB APJ'!#REF!</definedName>
    <definedName name="A00167_" localSheetId="0">'[18]TB APJ'!#REF!</definedName>
    <definedName name="A00167_">'[18]TB APJ'!#REF!</definedName>
    <definedName name="A00168_" localSheetId="1">'[18]TB APJ'!#REF!</definedName>
    <definedName name="A00168_" localSheetId="15">'[18]TB APJ'!#REF!</definedName>
    <definedName name="A00168_" localSheetId="9">'[18]TB APJ'!#REF!</definedName>
    <definedName name="A00168_" localSheetId="0">'[18]TB APJ'!#REF!</definedName>
    <definedName name="A00168_">'[18]TB APJ'!#REF!</definedName>
    <definedName name="A00169_">[19]tb!$B$8</definedName>
    <definedName name="A00183_" localSheetId="1">'[18]TB APJ'!#REF!</definedName>
    <definedName name="A00183_" localSheetId="15">'[18]TB APJ'!#REF!</definedName>
    <definedName name="A00183_" localSheetId="9">'[18]TB APJ'!#REF!</definedName>
    <definedName name="A00183_" localSheetId="0">'[18]TB APJ'!#REF!</definedName>
    <definedName name="A00183_">'[18]TB APJ'!#REF!</definedName>
    <definedName name="A0019_">'[18]TB APJ'!$B$10</definedName>
    <definedName name="A00191_">'[18]TB APJ'!$B$246</definedName>
    <definedName name="A00195_" localSheetId="1">'[18]TB APJ'!#REF!</definedName>
    <definedName name="A00195_" localSheetId="15">'[18]TB APJ'!#REF!</definedName>
    <definedName name="A00195_" localSheetId="9">'[18]TB APJ'!#REF!</definedName>
    <definedName name="A00195_" localSheetId="0">'[18]TB APJ'!#REF!</definedName>
    <definedName name="A00195_">'[18]TB APJ'!#REF!</definedName>
    <definedName name="A00203_" localSheetId="1">'[18]TB APJ'!#REF!</definedName>
    <definedName name="A00203_" localSheetId="15">'[18]TB APJ'!#REF!</definedName>
    <definedName name="A00203_" localSheetId="9">'[18]TB APJ'!#REF!</definedName>
    <definedName name="A00203_" localSheetId="0">'[18]TB APJ'!#REF!</definedName>
    <definedName name="A00203_">'[18]TB APJ'!#REF!</definedName>
    <definedName name="A00207_" localSheetId="1">'[18]TB APJ'!#REF!</definedName>
    <definedName name="A00207_" localSheetId="15">'[18]TB APJ'!#REF!</definedName>
    <definedName name="A00207_" localSheetId="9">'[18]TB APJ'!#REF!</definedName>
    <definedName name="A00207_" localSheetId="0">'[18]TB APJ'!#REF!</definedName>
    <definedName name="A00207_">'[18]TB APJ'!#REF!</definedName>
    <definedName name="A00211_" localSheetId="1">'[18]TB APJ'!#REF!</definedName>
    <definedName name="A00211_" localSheetId="15">'[18]TB APJ'!#REF!</definedName>
    <definedName name="A00211_" localSheetId="9">'[18]TB APJ'!#REF!</definedName>
    <definedName name="A00211_" localSheetId="0">'[18]TB APJ'!#REF!</definedName>
    <definedName name="A00211_">'[18]TB APJ'!#REF!</definedName>
    <definedName name="A00212_">'[18]TB APJ'!$B$247</definedName>
    <definedName name="A00214_" localSheetId="1">'[18]TB APJ'!#REF!</definedName>
    <definedName name="A00214_" localSheetId="15">'[18]TB APJ'!#REF!</definedName>
    <definedName name="A00214_" localSheetId="9">'[18]TB APJ'!#REF!</definedName>
    <definedName name="A00214_" localSheetId="0">'[18]TB APJ'!#REF!</definedName>
    <definedName name="A00214_">'[18]TB APJ'!#REF!</definedName>
    <definedName name="A00215_" localSheetId="1">'[17]TB APJ'!#REF!</definedName>
    <definedName name="A00215_" localSheetId="15">'[17]TB APJ'!#REF!</definedName>
    <definedName name="A00215_" localSheetId="9">'[17]TB APJ'!#REF!</definedName>
    <definedName name="A00215_" localSheetId="0">'[17]TB APJ'!#REF!</definedName>
    <definedName name="A00215_">'[17]TB APJ'!#REF!</definedName>
    <definedName name="A00223_">[19]tb!$B$10</definedName>
    <definedName name="A00225_">'[18]TB APJ'!$B$11</definedName>
    <definedName name="A00226_">'[18]TB APJ'!$B$248</definedName>
    <definedName name="A00242_">'[18]TB APJ'!$B$12</definedName>
    <definedName name="A00247_" localSheetId="1">'[18]TB APJ'!#REF!</definedName>
    <definedName name="A00247_" localSheetId="15">'[18]TB APJ'!#REF!</definedName>
    <definedName name="A00247_" localSheetId="9">'[18]TB APJ'!#REF!</definedName>
    <definedName name="A00247_" localSheetId="0">'[18]TB APJ'!#REF!</definedName>
    <definedName name="A00247_">'[18]TB APJ'!#REF!</definedName>
    <definedName name="A00252_">'[18]TB APJ'!$B$330</definedName>
    <definedName name="A00256_">'[18]TB APJ'!$B$249</definedName>
    <definedName name="A00257_">'[18]TB APJ'!$B$306</definedName>
    <definedName name="A00258_" localSheetId="1">'[18]TB APJ'!#REF!</definedName>
    <definedName name="A00258_" localSheetId="15">'[18]TB APJ'!#REF!</definedName>
    <definedName name="A00258_" localSheetId="9">'[18]TB APJ'!#REF!</definedName>
    <definedName name="A00258_" localSheetId="0">'[18]TB APJ'!#REF!</definedName>
    <definedName name="A00258_">'[18]TB APJ'!#REF!</definedName>
    <definedName name="A0026_">'[18]TB APJ'!$B$13</definedName>
    <definedName name="A00260_" localSheetId="1">'[17]TB APJ'!#REF!</definedName>
    <definedName name="A00260_" localSheetId="15">'[17]TB APJ'!#REF!</definedName>
    <definedName name="A00260_" localSheetId="9">'[17]TB APJ'!#REF!</definedName>
    <definedName name="A00260_" localSheetId="0">'[17]TB APJ'!#REF!</definedName>
    <definedName name="A00260_">'[17]TB APJ'!#REF!</definedName>
    <definedName name="A00261_" localSheetId="1">'[17]TB APJ'!#REF!</definedName>
    <definedName name="A00261_" localSheetId="15">'[17]TB APJ'!#REF!</definedName>
    <definedName name="A00261_" localSheetId="9">'[17]TB APJ'!#REF!</definedName>
    <definedName name="A00261_" localSheetId="0">'[17]TB APJ'!#REF!</definedName>
    <definedName name="A00261_">'[17]TB APJ'!#REF!</definedName>
    <definedName name="A00264_" localSheetId="1">'[17]TB APJ'!#REF!</definedName>
    <definedName name="A00264_" localSheetId="15">'[17]TB APJ'!#REF!</definedName>
    <definedName name="A00264_" localSheetId="9">'[17]TB APJ'!#REF!</definedName>
    <definedName name="A00264_" localSheetId="0">'[17]TB APJ'!#REF!</definedName>
    <definedName name="A00264_">'[17]TB APJ'!#REF!</definedName>
    <definedName name="A00266_" localSheetId="1">'[18]TB APJ'!#REF!</definedName>
    <definedName name="A00266_" localSheetId="15">'[18]TB APJ'!#REF!</definedName>
    <definedName name="A00266_" localSheetId="9">'[18]TB APJ'!#REF!</definedName>
    <definedName name="A00266_" localSheetId="0">'[18]TB APJ'!#REF!</definedName>
    <definedName name="A00266_">'[18]TB APJ'!#REF!</definedName>
    <definedName name="A00268_" localSheetId="1">'[18]TB APJ'!#REF!</definedName>
    <definedName name="A00268_" localSheetId="15">'[18]TB APJ'!#REF!</definedName>
    <definedName name="A00268_" localSheetId="0">'[18]TB APJ'!#REF!</definedName>
    <definedName name="A00268_">'[18]TB APJ'!#REF!</definedName>
    <definedName name="A00270_">'[18]TB APJ'!$B$331</definedName>
    <definedName name="A00271_">[19]tb!$B$16</definedName>
    <definedName name="A00273_">'[18]TB APJ'!$B$16</definedName>
    <definedName name="A00274_">'[18]TB APJ'!$B$17</definedName>
    <definedName name="A0028_">'[18]TB APJ'!$B$332</definedName>
    <definedName name="A00280_" localSheetId="1">'[18]TB APJ'!#REF!</definedName>
    <definedName name="A00280_" localSheetId="15">'[18]TB APJ'!#REF!</definedName>
    <definedName name="A00280_" localSheetId="9">'[18]TB APJ'!#REF!</definedName>
    <definedName name="A00280_" localSheetId="0">'[18]TB APJ'!#REF!</definedName>
    <definedName name="A00280_">'[18]TB APJ'!#REF!</definedName>
    <definedName name="A00281_" localSheetId="1">'[18]TB APJ'!#REF!</definedName>
    <definedName name="A00281_" localSheetId="15">'[18]TB APJ'!#REF!</definedName>
    <definedName name="A00281_" localSheetId="9">'[18]TB APJ'!#REF!</definedName>
    <definedName name="A00281_" localSheetId="0">'[18]TB APJ'!#REF!</definedName>
    <definedName name="A00281_">'[18]TB APJ'!#REF!</definedName>
    <definedName name="A00283_" localSheetId="1">'[18]TB APJ'!#REF!</definedName>
    <definedName name="A00283_" localSheetId="15">'[18]TB APJ'!#REF!</definedName>
    <definedName name="A00283_" localSheetId="9">'[18]TB APJ'!#REF!</definedName>
    <definedName name="A00283_" localSheetId="0">'[18]TB APJ'!#REF!</definedName>
    <definedName name="A00283_">'[18]TB APJ'!#REF!</definedName>
    <definedName name="A00290_" localSheetId="1">'[18]TB APJ'!#REF!</definedName>
    <definedName name="A00290_" localSheetId="15">'[18]TB APJ'!#REF!</definedName>
    <definedName name="A00290_" localSheetId="9">'[18]TB APJ'!#REF!</definedName>
    <definedName name="A00290_" localSheetId="0">'[18]TB APJ'!#REF!</definedName>
    <definedName name="A00290_">'[18]TB APJ'!#REF!</definedName>
    <definedName name="A00291_">'[18]TB APJ'!$B$250</definedName>
    <definedName name="A00293_">'[18]TB APJ'!$B$333</definedName>
    <definedName name="A00294_" localSheetId="1">'[18]TB APJ'!#REF!</definedName>
    <definedName name="A00294_" localSheetId="15">'[18]TB APJ'!#REF!</definedName>
    <definedName name="A00294_" localSheetId="9">'[18]TB APJ'!#REF!</definedName>
    <definedName name="A00294_" localSheetId="0">'[18]TB APJ'!#REF!</definedName>
    <definedName name="A00294_">'[18]TB APJ'!#REF!</definedName>
    <definedName name="A00295_" localSheetId="1">'[18]TB APJ'!#REF!</definedName>
    <definedName name="A00295_" localSheetId="15">'[18]TB APJ'!#REF!</definedName>
    <definedName name="A00295_" localSheetId="9">'[18]TB APJ'!#REF!</definedName>
    <definedName name="A00295_" localSheetId="0">'[18]TB APJ'!#REF!</definedName>
    <definedName name="A00295_">'[18]TB APJ'!#REF!</definedName>
    <definedName name="A00296_" localSheetId="1">'[18]TB APJ'!#REF!</definedName>
    <definedName name="A00296_" localSheetId="15">'[18]TB APJ'!#REF!</definedName>
    <definedName name="A00296_" localSheetId="9">'[18]TB APJ'!#REF!</definedName>
    <definedName name="A00296_" localSheetId="0">'[18]TB APJ'!#REF!</definedName>
    <definedName name="A00296_">'[18]TB APJ'!#REF!</definedName>
    <definedName name="A00297_" localSheetId="1">'[18]TB APJ'!#REF!</definedName>
    <definedName name="A00297_" localSheetId="15">'[18]TB APJ'!#REF!</definedName>
    <definedName name="A00297_" localSheetId="9">'[18]TB APJ'!#REF!</definedName>
    <definedName name="A00297_" localSheetId="0">'[18]TB APJ'!#REF!</definedName>
    <definedName name="A00297_">'[18]TB APJ'!#REF!</definedName>
    <definedName name="A00300_" localSheetId="1">'[17]TB APJ'!#REF!</definedName>
    <definedName name="A00300_" localSheetId="15">'[17]TB APJ'!#REF!</definedName>
    <definedName name="A00300_" localSheetId="0">'[17]TB APJ'!#REF!</definedName>
    <definedName name="A00300_">'[17]TB APJ'!#REF!</definedName>
    <definedName name="A00301_" localSheetId="1">'[18]TB APJ'!#REF!</definedName>
    <definedName name="A00301_" localSheetId="15">'[18]TB APJ'!#REF!</definedName>
    <definedName name="A00301_" localSheetId="0">'[18]TB APJ'!#REF!</definedName>
    <definedName name="A00301_">'[18]TB APJ'!#REF!</definedName>
    <definedName name="A00302_" localSheetId="1">'[18]TB APJ'!#REF!</definedName>
    <definedName name="A00302_" localSheetId="15">'[18]TB APJ'!#REF!</definedName>
    <definedName name="A00302_" localSheetId="0">'[18]TB APJ'!#REF!</definedName>
    <definedName name="A00302_">'[18]TB APJ'!#REF!</definedName>
    <definedName name="A00303_">[19]tb!$B$25</definedName>
    <definedName name="A00305_" localSheetId="1">'[18]TB APJ'!#REF!</definedName>
    <definedName name="A00305_" localSheetId="15">'[18]TB APJ'!#REF!</definedName>
    <definedName name="A00305_" localSheetId="9">'[18]TB APJ'!#REF!</definedName>
    <definedName name="A00305_" localSheetId="0">'[18]TB APJ'!#REF!</definedName>
    <definedName name="A00305_">'[18]TB APJ'!#REF!</definedName>
    <definedName name="A00306_" localSheetId="1">'[17]TB WORLI'!#REF!</definedName>
    <definedName name="A00306_" localSheetId="15">'[17]TB WORLI'!#REF!</definedName>
    <definedName name="A00306_" localSheetId="9">'[17]TB WORLI'!#REF!</definedName>
    <definedName name="A00306_" localSheetId="0">'[17]TB WORLI'!#REF!</definedName>
    <definedName name="A00306_">'[17]TB WORLI'!#REF!</definedName>
    <definedName name="A00314_" localSheetId="1">'[18]TB APJ'!#REF!</definedName>
    <definedName name="A00314_" localSheetId="15">'[18]TB APJ'!#REF!</definedName>
    <definedName name="A00314_" localSheetId="9">'[18]TB APJ'!#REF!</definedName>
    <definedName name="A00314_" localSheetId="0">'[18]TB APJ'!#REF!</definedName>
    <definedName name="A00314_">'[18]TB APJ'!#REF!</definedName>
    <definedName name="A00315_" localSheetId="1">'[18]TB APJ'!#REF!</definedName>
    <definedName name="A00315_" localSheetId="15">'[18]TB APJ'!#REF!</definedName>
    <definedName name="A00315_" localSheetId="9">'[18]TB APJ'!#REF!</definedName>
    <definedName name="A00315_" localSheetId="0">'[18]TB APJ'!#REF!</definedName>
    <definedName name="A00315_">'[18]TB APJ'!#REF!</definedName>
    <definedName name="A00317_" localSheetId="1">'[18]TB APJ'!#REF!</definedName>
    <definedName name="A00317_" localSheetId="15">'[18]TB APJ'!#REF!</definedName>
    <definedName name="A00317_" localSheetId="0">'[18]TB APJ'!#REF!</definedName>
    <definedName name="A00317_">'[18]TB APJ'!#REF!</definedName>
    <definedName name="A00318_" localSheetId="1">'[18]TB APJ'!#REF!</definedName>
    <definedName name="A00318_" localSheetId="15">'[18]TB APJ'!#REF!</definedName>
    <definedName name="A00318_" localSheetId="0">'[18]TB APJ'!#REF!</definedName>
    <definedName name="A00318_">'[18]TB APJ'!#REF!</definedName>
    <definedName name="A00319_">'[18]TB APJ'!$B$307</definedName>
    <definedName name="A00320_">'[18]TB APJ'!$B$335</definedName>
    <definedName name="A00321_" localSheetId="1">'[18]TB APJ'!#REF!</definedName>
    <definedName name="A00321_" localSheetId="15">'[18]TB APJ'!#REF!</definedName>
    <definedName name="A00321_" localSheetId="9">'[18]TB APJ'!#REF!</definedName>
    <definedName name="A00321_" localSheetId="0">'[18]TB APJ'!#REF!</definedName>
    <definedName name="A00321_">'[18]TB APJ'!#REF!</definedName>
    <definedName name="A00322_">'[18]TB APJ'!$B$336</definedName>
    <definedName name="A00323_" localSheetId="1">'[17]TB APJ'!#REF!</definedName>
    <definedName name="A00323_" localSheetId="15">'[17]TB APJ'!#REF!</definedName>
    <definedName name="A00323_" localSheetId="9">'[17]TB APJ'!#REF!</definedName>
    <definedName name="A00323_" localSheetId="0">'[17]TB APJ'!#REF!</definedName>
    <definedName name="A00323_">'[17]TB APJ'!#REF!</definedName>
    <definedName name="A00324_" localSheetId="1">'[18]TB APJ'!#REF!</definedName>
    <definedName name="A00324_" localSheetId="15">'[18]TB APJ'!#REF!</definedName>
    <definedName name="A00324_" localSheetId="9">'[18]TB APJ'!#REF!</definedName>
    <definedName name="A00324_" localSheetId="0">'[18]TB APJ'!#REF!</definedName>
    <definedName name="A00324_">'[18]TB APJ'!#REF!</definedName>
    <definedName name="A00325_" localSheetId="1">'[18]TB APJ'!#REF!</definedName>
    <definedName name="A00325_" localSheetId="15">'[18]TB APJ'!#REF!</definedName>
    <definedName name="A00325_" localSheetId="9">'[18]TB APJ'!#REF!</definedName>
    <definedName name="A00325_" localSheetId="0">'[18]TB APJ'!#REF!</definedName>
    <definedName name="A00325_">'[18]TB APJ'!#REF!</definedName>
    <definedName name="A00326_">'[18]TB APJ'!$B$337</definedName>
    <definedName name="A00327_">'[18]TB APJ'!$B$338</definedName>
    <definedName name="A00330_" localSheetId="1">'[18]TB APJ'!#REF!</definedName>
    <definedName name="A00330_" localSheetId="15">'[18]TB APJ'!#REF!</definedName>
    <definedName name="A00330_" localSheetId="9">'[18]TB APJ'!#REF!</definedName>
    <definedName name="A00330_" localSheetId="0">'[18]TB APJ'!#REF!</definedName>
    <definedName name="A00330_">'[18]TB APJ'!#REF!</definedName>
    <definedName name="A00331_">'[18]TB APJ'!$B$308</definedName>
    <definedName name="A00333_" localSheetId="1">'[18]TB APJ'!#REF!</definedName>
    <definedName name="A00333_" localSheetId="15">'[18]TB APJ'!#REF!</definedName>
    <definedName name="A00333_" localSheetId="9">'[18]TB APJ'!#REF!</definedName>
    <definedName name="A00333_" localSheetId="0">'[18]TB APJ'!#REF!</definedName>
    <definedName name="A00333_">'[18]TB APJ'!#REF!</definedName>
    <definedName name="A00334_" localSheetId="1">'[18]TB APJ'!#REF!</definedName>
    <definedName name="A00334_" localSheetId="15">'[18]TB APJ'!#REF!</definedName>
    <definedName name="A00334_" localSheetId="9">'[18]TB APJ'!#REF!</definedName>
    <definedName name="A00334_" localSheetId="0">'[18]TB APJ'!#REF!</definedName>
    <definedName name="A00334_">'[18]TB APJ'!#REF!</definedName>
    <definedName name="A00335_" localSheetId="1">'[18]TB APJ'!#REF!</definedName>
    <definedName name="A00335_" localSheetId="15">'[18]TB APJ'!#REF!</definedName>
    <definedName name="A00335_" localSheetId="9">'[18]TB APJ'!#REF!</definedName>
    <definedName name="A00335_" localSheetId="0">'[18]TB APJ'!#REF!</definedName>
    <definedName name="A00335_">'[18]TB APJ'!#REF!</definedName>
    <definedName name="A00338_" localSheetId="1">'[18]TB APJ'!#REF!</definedName>
    <definedName name="A00338_" localSheetId="15">'[18]TB APJ'!#REF!</definedName>
    <definedName name="A00338_" localSheetId="9">'[18]TB APJ'!#REF!</definedName>
    <definedName name="A00338_" localSheetId="0">'[18]TB APJ'!#REF!</definedName>
    <definedName name="A00338_">'[18]TB APJ'!#REF!</definedName>
    <definedName name="A00340_" localSheetId="1">'[18]TB APJ'!#REF!</definedName>
    <definedName name="A00340_" localSheetId="15">'[18]TB APJ'!#REF!</definedName>
    <definedName name="A00340_" localSheetId="0">'[18]TB APJ'!#REF!</definedName>
    <definedName name="A00340_">'[18]TB APJ'!#REF!</definedName>
    <definedName name="A00341_" localSheetId="1">'[18]TB APJ'!#REF!</definedName>
    <definedName name="A00341_" localSheetId="15">'[18]TB APJ'!#REF!</definedName>
    <definedName name="A00341_" localSheetId="0">'[18]TB APJ'!#REF!</definedName>
    <definedName name="A00341_">'[18]TB APJ'!#REF!</definedName>
    <definedName name="A00342_">'[18]TB APJ'!$B$339</definedName>
    <definedName name="A00344_" localSheetId="1">'[18]TB APJ'!#REF!</definedName>
    <definedName name="A00344_" localSheetId="15">'[18]TB APJ'!#REF!</definedName>
    <definedName name="A00344_" localSheetId="9">'[18]TB APJ'!#REF!</definedName>
    <definedName name="A00344_" localSheetId="0">'[18]TB APJ'!#REF!</definedName>
    <definedName name="A00344_">'[18]TB APJ'!#REF!</definedName>
    <definedName name="A00345_" localSheetId="1">'[18]TB APJ'!#REF!</definedName>
    <definedName name="A00345_" localSheetId="15">'[18]TB APJ'!#REF!</definedName>
    <definedName name="A00345_" localSheetId="9">'[18]TB APJ'!#REF!</definedName>
    <definedName name="A00345_" localSheetId="0">'[18]TB APJ'!#REF!</definedName>
    <definedName name="A00345_">'[18]TB APJ'!#REF!</definedName>
    <definedName name="A00346_" localSheetId="1">'[18]TB APJ'!#REF!</definedName>
    <definedName name="A00346_" localSheetId="15">'[18]TB APJ'!#REF!</definedName>
    <definedName name="A00346_" localSheetId="9">'[18]TB APJ'!#REF!</definedName>
    <definedName name="A00346_" localSheetId="0">'[18]TB APJ'!#REF!</definedName>
    <definedName name="A00346_">'[18]TB APJ'!#REF!</definedName>
    <definedName name="A00348_" localSheetId="1">'[18]TB APJ'!#REF!</definedName>
    <definedName name="A00348_" localSheetId="15">'[18]TB APJ'!#REF!</definedName>
    <definedName name="A00348_" localSheetId="9">'[18]TB APJ'!#REF!</definedName>
    <definedName name="A00348_" localSheetId="0">'[18]TB APJ'!#REF!</definedName>
    <definedName name="A00348_">'[18]TB APJ'!#REF!</definedName>
    <definedName name="A00349_" localSheetId="1">'[18]TB APJ'!#REF!</definedName>
    <definedName name="A00349_" localSheetId="15">'[18]TB APJ'!#REF!</definedName>
    <definedName name="A00349_" localSheetId="0">'[18]TB APJ'!#REF!</definedName>
    <definedName name="A00349_">'[18]TB APJ'!#REF!</definedName>
    <definedName name="A00350_">'[18]TB APJ'!$B$340</definedName>
    <definedName name="A00351_" localSheetId="1">'[18]TB APJ'!#REF!</definedName>
    <definedName name="A00351_" localSheetId="15">'[18]TB APJ'!#REF!</definedName>
    <definedName name="A00351_" localSheetId="9">'[18]TB APJ'!#REF!</definedName>
    <definedName name="A00351_" localSheetId="0">'[18]TB APJ'!#REF!</definedName>
    <definedName name="A00351_">'[18]TB APJ'!#REF!</definedName>
    <definedName name="A00352_">'[18]TB APJ'!$B$20</definedName>
    <definedName name="A00353_" localSheetId="1">'[18]TB APJ'!#REF!</definedName>
    <definedName name="A00353_" localSheetId="15">'[18]TB APJ'!#REF!</definedName>
    <definedName name="A00353_" localSheetId="9">'[18]TB APJ'!#REF!</definedName>
    <definedName name="A00353_" localSheetId="0">'[18]TB APJ'!#REF!</definedName>
    <definedName name="A00353_">'[18]TB APJ'!#REF!</definedName>
    <definedName name="A00354_">'[18]TB APJ'!$B$341</definedName>
    <definedName name="A00355_">'[18]TB APJ'!$B$342</definedName>
    <definedName name="A00357_">'[18]TB APJ'!$B$343</definedName>
    <definedName name="A00358_">'[18]TB APJ'!$B$344</definedName>
    <definedName name="A00359_">'[18]TB APJ'!$B$254</definedName>
    <definedName name="A00362_" localSheetId="1">'[18]TB APJ'!#REF!</definedName>
    <definedName name="A00362_" localSheetId="15">'[18]TB APJ'!#REF!</definedName>
    <definedName name="A00362_" localSheetId="9">'[18]TB APJ'!#REF!</definedName>
    <definedName name="A00362_" localSheetId="0">'[18]TB APJ'!#REF!</definedName>
    <definedName name="A00362_">'[18]TB APJ'!#REF!</definedName>
    <definedName name="A00366_" localSheetId="1">'[18]TB APJ'!#REF!</definedName>
    <definedName name="A00366_" localSheetId="15">'[18]TB APJ'!#REF!</definedName>
    <definedName name="A00366_" localSheetId="9">'[18]TB APJ'!#REF!</definedName>
    <definedName name="A00366_" localSheetId="0">'[18]TB APJ'!#REF!</definedName>
    <definedName name="A00366_">'[18]TB APJ'!#REF!</definedName>
    <definedName name="A00367_">'[18]TB APJ'!$B$21</definedName>
    <definedName name="A00368_">'[18]TB APJ'!$B$22</definedName>
    <definedName name="A00369_" localSheetId="1">'[18]TB APJ'!#REF!</definedName>
    <definedName name="A00369_" localSheetId="15">'[18]TB APJ'!#REF!</definedName>
    <definedName name="A00369_" localSheetId="9">'[18]TB APJ'!#REF!</definedName>
    <definedName name="A00369_" localSheetId="0">'[18]TB APJ'!#REF!</definedName>
    <definedName name="A00369_">'[18]TB APJ'!#REF!</definedName>
    <definedName name="A00370_">'[18]TB APJ'!$B$23</definedName>
    <definedName name="A00372_">'[18]TB APJ'!$B$235</definedName>
    <definedName name="A00376_" localSheetId="1">'[18]TB APJ'!#REF!</definedName>
    <definedName name="A00376_" localSheetId="15">'[18]TB APJ'!#REF!</definedName>
    <definedName name="A00376_" localSheetId="9">'[18]TB APJ'!#REF!</definedName>
    <definedName name="A00376_" localSheetId="0">'[18]TB APJ'!#REF!</definedName>
    <definedName name="A00376_">'[18]TB APJ'!#REF!</definedName>
    <definedName name="A00379_" localSheetId="1">'[18]TB APJ'!#REF!</definedName>
    <definedName name="A00379_" localSheetId="15">'[18]TB APJ'!#REF!</definedName>
    <definedName name="A00379_" localSheetId="9">'[18]TB APJ'!#REF!</definedName>
    <definedName name="A00379_" localSheetId="0">'[18]TB APJ'!#REF!</definedName>
    <definedName name="A00379_">'[18]TB APJ'!#REF!</definedName>
    <definedName name="A00381_" localSheetId="1">'[18]TB APJ'!#REF!</definedName>
    <definedName name="A00381_" localSheetId="15">'[18]TB APJ'!#REF!</definedName>
    <definedName name="A00381_" localSheetId="9">'[18]TB APJ'!#REF!</definedName>
    <definedName name="A00381_" localSheetId="0">'[18]TB APJ'!#REF!</definedName>
    <definedName name="A00381_">'[18]TB APJ'!#REF!</definedName>
    <definedName name="A00383_" localSheetId="1">'[18]TB APJ'!#REF!</definedName>
    <definedName name="A00383_" localSheetId="15">'[18]TB APJ'!#REF!</definedName>
    <definedName name="A00383_" localSheetId="9">'[18]TB APJ'!#REF!</definedName>
    <definedName name="A00383_" localSheetId="0">'[18]TB APJ'!#REF!</definedName>
    <definedName name="A00383_">'[18]TB APJ'!#REF!</definedName>
    <definedName name="A00386_" localSheetId="1">'[18]TB APJ'!#REF!</definedName>
    <definedName name="A00386_" localSheetId="15">'[18]TB APJ'!#REF!</definedName>
    <definedName name="A00386_" localSheetId="0">'[18]TB APJ'!#REF!</definedName>
    <definedName name="A00386_">'[18]TB APJ'!#REF!</definedName>
    <definedName name="A00387_" localSheetId="1">'[18]TB APJ'!#REF!</definedName>
    <definedName name="A00387_" localSheetId="15">'[18]TB APJ'!#REF!</definedName>
    <definedName name="A00387_" localSheetId="0">'[18]TB APJ'!#REF!</definedName>
    <definedName name="A00387_">'[18]TB APJ'!#REF!</definedName>
    <definedName name="A00388_" localSheetId="1">'[18]TB APJ'!#REF!</definedName>
    <definedName name="A00388_" localSheetId="15">'[18]TB APJ'!#REF!</definedName>
    <definedName name="A00388_" localSheetId="0">'[18]TB APJ'!#REF!</definedName>
    <definedName name="A00388_">'[18]TB APJ'!#REF!</definedName>
    <definedName name="A00389_" localSheetId="1">'[18]TB APJ'!#REF!</definedName>
    <definedName name="A00389_" localSheetId="15">'[18]TB APJ'!#REF!</definedName>
    <definedName name="A00389_" localSheetId="0">'[18]TB APJ'!#REF!</definedName>
    <definedName name="A00389_">'[18]TB APJ'!#REF!</definedName>
    <definedName name="A00391_" localSheetId="1">'[18]TB APJ'!#REF!</definedName>
    <definedName name="A00391_" localSheetId="15">'[18]TB APJ'!#REF!</definedName>
    <definedName name="A00391_" localSheetId="0">'[18]TB APJ'!#REF!</definedName>
    <definedName name="A00391_">'[18]TB APJ'!#REF!</definedName>
    <definedName name="A00392_" localSheetId="1">'[18]TB APJ'!#REF!</definedName>
    <definedName name="A00392_" localSheetId="15">'[18]TB APJ'!#REF!</definedName>
    <definedName name="A00392_" localSheetId="0">'[18]TB APJ'!#REF!</definedName>
    <definedName name="A00392_">'[18]TB APJ'!#REF!</definedName>
    <definedName name="A00393_" localSheetId="1">'[18]TB APJ'!#REF!</definedName>
    <definedName name="A00393_" localSheetId="15">'[18]TB APJ'!#REF!</definedName>
    <definedName name="A00393_" localSheetId="0">'[18]TB APJ'!#REF!</definedName>
    <definedName name="A00393_">'[18]TB APJ'!#REF!</definedName>
    <definedName name="A00394_" localSheetId="1">'[18]TB APJ'!#REF!</definedName>
    <definedName name="A00394_" localSheetId="15">'[18]TB APJ'!#REF!</definedName>
    <definedName name="A00394_" localSheetId="0">'[18]TB APJ'!#REF!</definedName>
    <definedName name="A00394_">'[18]TB APJ'!#REF!</definedName>
    <definedName name="A00395_" localSheetId="1">'[18]TB APJ'!#REF!</definedName>
    <definedName name="A00395_" localSheetId="15">'[18]TB APJ'!#REF!</definedName>
    <definedName name="A00395_" localSheetId="0">'[18]TB APJ'!#REF!</definedName>
    <definedName name="A00395_">'[18]TB APJ'!#REF!</definedName>
    <definedName name="A00396_" localSheetId="1">'[18]TB APJ'!#REF!</definedName>
    <definedName name="A00396_" localSheetId="15">'[18]TB APJ'!#REF!</definedName>
    <definedName name="A00396_" localSheetId="0">'[18]TB APJ'!#REF!</definedName>
    <definedName name="A00396_">'[18]TB APJ'!#REF!</definedName>
    <definedName name="A00397_">'[18]TB APJ'!$B$351</definedName>
    <definedName name="A00398_" localSheetId="1">'[18]TB APJ'!#REF!</definedName>
    <definedName name="A00398_" localSheetId="15">'[18]TB APJ'!#REF!</definedName>
    <definedName name="A00398_" localSheetId="9">'[18]TB APJ'!#REF!</definedName>
    <definedName name="A00398_" localSheetId="0">'[18]TB APJ'!#REF!</definedName>
    <definedName name="A00398_">'[18]TB APJ'!#REF!</definedName>
    <definedName name="A0040_" localSheetId="1">'[18]TB APJ'!#REF!</definedName>
    <definedName name="A0040_" localSheetId="15">'[18]TB APJ'!#REF!</definedName>
    <definedName name="A0040_" localSheetId="9">'[18]TB APJ'!#REF!</definedName>
    <definedName name="A0040_" localSheetId="0">'[18]TB APJ'!#REF!</definedName>
    <definedName name="A0040_">'[18]TB APJ'!#REF!</definedName>
    <definedName name="A00400_" localSheetId="1">'[18]TB APJ'!#REF!</definedName>
    <definedName name="A00400_" localSheetId="15">'[18]TB APJ'!#REF!</definedName>
    <definedName name="A00400_" localSheetId="9">'[18]TB APJ'!#REF!</definedName>
    <definedName name="A00400_" localSheetId="0">'[18]TB APJ'!#REF!</definedName>
    <definedName name="A00400_">'[18]TB APJ'!#REF!</definedName>
    <definedName name="A00402_">'[18]TB APJ'!$B$309</definedName>
    <definedName name="A00403_">'[18]TB APJ'!$B$25</definedName>
    <definedName name="A00404_" localSheetId="1">'[18]TB APJ'!#REF!</definedName>
    <definedName name="A00404_" localSheetId="15">'[18]TB APJ'!#REF!</definedName>
    <definedName name="A00404_" localSheetId="9">'[18]TB APJ'!#REF!</definedName>
    <definedName name="A00404_" localSheetId="0">'[18]TB APJ'!#REF!</definedName>
    <definedName name="A00404_">'[18]TB APJ'!#REF!</definedName>
    <definedName name="A00405_">'[18]TB APJ'!$B$26</definedName>
    <definedName name="A00407_" localSheetId="1">'[18]TB APJ'!#REF!</definedName>
    <definedName name="A00407_" localSheetId="15">'[18]TB APJ'!#REF!</definedName>
    <definedName name="A00407_" localSheetId="9">'[18]TB APJ'!#REF!</definedName>
    <definedName name="A00407_" localSheetId="0">'[18]TB APJ'!#REF!</definedName>
    <definedName name="A00407_">'[18]TB APJ'!#REF!</definedName>
    <definedName name="A00409_">'[18]TB APJ'!$B$256</definedName>
    <definedName name="A00410_" localSheetId="1">'[18]TB APJ'!#REF!</definedName>
    <definedName name="A00410_" localSheetId="15">'[18]TB APJ'!#REF!</definedName>
    <definedName name="A00410_" localSheetId="9">'[18]TB APJ'!#REF!</definedName>
    <definedName name="A00410_" localSheetId="0">'[18]TB APJ'!#REF!</definedName>
    <definedName name="A00410_">'[18]TB APJ'!#REF!</definedName>
    <definedName name="A00411_" localSheetId="1">'[18]TB APJ'!#REF!</definedName>
    <definedName name="A00411_" localSheetId="15">'[18]TB APJ'!#REF!</definedName>
    <definedName name="A00411_" localSheetId="9">'[18]TB APJ'!#REF!</definedName>
    <definedName name="A00411_" localSheetId="0">'[18]TB APJ'!#REF!</definedName>
    <definedName name="A00411_">'[18]TB APJ'!#REF!</definedName>
    <definedName name="A00412_" localSheetId="1">'[18]TB APJ'!#REF!</definedName>
    <definedName name="A00412_" localSheetId="15">'[18]TB APJ'!#REF!</definedName>
    <definedName name="A00412_" localSheetId="9">'[18]TB APJ'!#REF!</definedName>
    <definedName name="A00412_" localSheetId="0">'[18]TB APJ'!#REF!</definedName>
    <definedName name="A00412_">'[18]TB APJ'!#REF!</definedName>
    <definedName name="A00413_" localSheetId="1">'[18]TB APJ'!#REF!</definedName>
    <definedName name="A00413_" localSheetId="15">'[18]TB APJ'!#REF!</definedName>
    <definedName name="A00413_" localSheetId="9">'[18]TB APJ'!#REF!</definedName>
    <definedName name="A00413_" localSheetId="0">'[18]TB APJ'!#REF!</definedName>
    <definedName name="A00413_">'[18]TB APJ'!#REF!</definedName>
    <definedName name="A00416_" localSheetId="1">'[18]TB APJ'!#REF!</definedName>
    <definedName name="A00416_" localSheetId="15">'[18]TB APJ'!#REF!</definedName>
    <definedName name="A00416_" localSheetId="0">'[18]TB APJ'!#REF!</definedName>
    <definedName name="A00416_">'[18]TB APJ'!#REF!</definedName>
    <definedName name="A00420_" localSheetId="1">'[18]TB APJ'!#REF!</definedName>
    <definedName name="A00420_" localSheetId="15">'[18]TB APJ'!#REF!</definedName>
    <definedName name="A00420_" localSheetId="0">'[18]TB APJ'!#REF!</definedName>
    <definedName name="A00420_">'[18]TB APJ'!#REF!</definedName>
    <definedName name="A00421_" localSheetId="1">'[18]TB APJ'!#REF!</definedName>
    <definedName name="A00421_" localSheetId="15">'[18]TB APJ'!#REF!</definedName>
    <definedName name="A00421_" localSheetId="0">'[18]TB APJ'!#REF!</definedName>
    <definedName name="A00421_">'[18]TB APJ'!#REF!</definedName>
    <definedName name="A00422_" localSheetId="1">'[18]TB APJ'!#REF!</definedName>
    <definedName name="A00422_" localSheetId="15">'[18]TB APJ'!#REF!</definedName>
    <definedName name="A00422_" localSheetId="0">'[18]TB APJ'!#REF!</definedName>
    <definedName name="A00422_">'[18]TB APJ'!#REF!</definedName>
    <definedName name="A00423_">'[18]TB APJ'!$B$27</definedName>
    <definedName name="A00424_">'[18]TB APJ'!$B$28</definedName>
    <definedName name="A00425_" localSheetId="1">'[18]TB APJ'!#REF!</definedName>
    <definedName name="A00425_" localSheetId="15">'[18]TB APJ'!#REF!</definedName>
    <definedName name="A00425_" localSheetId="9">'[18]TB APJ'!#REF!</definedName>
    <definedName name="A00425_" localSheetId="0">'[18]TB APJ'!#REF!</definedName>
    <definedName name="A00425_">'[18]TB APJ'!#REF!</definedName>
    <definedName name="A00426_">'[18]TB APJ'!$B$353</definedName>
    <definedName name="A00427_">'[18]TB APJ'!$B$258</definedName>
    <definedName name="A00430_">'[18]TB APJ'!$B$29</definedName>
    <definedName name="A00433_" localSheetId="1">'[18]TB APJ'!#REF!</definedName>
    <definedName name="A00433_" localSheetId="15">'[18]TB APJ'!#REF!</definedName>
    <definedName name="A00433_" localSheetId="9">'[18]TB APJ'!#REF!</definedName>
    <definedName name="A00433_" localSheetId="0">'[18]TB APJ'!#REF!</definedName>
    <definedName name="A00433_">'[18]TB APJ'!#REF!</definedName>
    <definedName name="A00434_">'[18]TB APJ'!$B$260</definedName>
    <definedName name="A00435_" localSheetId="1">'[18]TB APJ'!#REF!</definedName>
    <definedName name="A00435_" localSheetId="15">'[18]TB APJ'!#REF!</definedName>
    <definedName name="A00435_" localSheetId="9">'[18]TB APJ'!#REF!</definedName>
    <definedName name="A00435_" localSheetId="0">'[18]TB APJ'!#REF!</definedName>
    <definedName name="A00435_">'[18]TB APJ'!#REF!</definedName>
    <definedName name="A00436_" localSheetId="1">'[18]TB APJ'!#REF!</definedName>
    <definedName name="A00436_" localSheetId="15">'[18]TB APJ'!#REF!</definedName>
    <definedName name="A00436_" localSheetId="9">'[18]TB APJ'!#REF!</definedName>
    <definedName name="A00436_" localSheetId="0">'[18]TB APJ'!#REF!</definedName>
    <definedName name="A00436_">'[18]TB APJ'!#REF!</definedName>
    <definedName name="A00437_" localSheetId="1">'[18]TB APJ'!#REF!</definedName>
    <definedName name="A00437_" localSheetId="15">'[18]TB APJ'!#REF!</definedName>
    <definedName name="A00437_" localSheetId="9">'[18]TB APJ'!#REF!</definedName>
    <definedName name="A00437_" localSheetId="0">'[18]TB APJ'!#REF!</definedName>
    <definedName name="A00437_">'[18]TB APJ'!#REF!</definedName>
    <definedName name="A0044_" localSheetId="1">'[18]TB APJ'!#REF!</definedName>
    <definedName name="A0044_" localSheetId="15">'[18]TB APJ'!#REF!</definedName>
    <definedName name="A0044_" localSheetId="9">'[18]TB APJ'!#REF!</definedName>
    <definedName name="A0044_" localSheetId="0">'[18]TB APJ'!#REF!</definedName>
    <definedName name="A0044_">'[18]TB APJ'!#REF!</definedName>
    <definedName name="A00441_" localSheetId="1">'[18]TB APJ'!#REF!</definedName>
    <definedName name="A00441_" localSheetId="15">'[18]TB APJ'!#REF!</definedName>
    <definedName name="A00441_" localSheetId="0">'[18]TB APJ'!#REF!</definedName>
    <definedName name="A00441_">'[18]TB APJ'!#REF!</definedName>
    <definedName name="A00442_">'[18]TB APJ'!$B$354</definedName>
    <definedName name="A00443_">'[18]TB APJ'!$B$261</definedName>
    <definedName name="A00444_" localSheetId="1">'[18]TB APJ'!#REF!</definedName>
    <definedName name="A00444_" localSheetId="15">'[18]TB APJ'!#REF!</definedName>
    <definedName name="A00444_" localSheetId="9">'[18]TB APJ'!#REF!</definedName>
    <definedName name="A00444_" localSheetId="0">'[18]TB APJ'!#REF!</definedName>
    <definedName name="A00444_">'[18]TB APJ'!#REF!</definedName>
    <definedName name="A00445_">'[18]TB APJ'!$B$355</definedName>
    <definedName name="A00446_">'[18]TB APJ'!$B$31</definedName>
    <definedName name="A00448_" localSheetId="1">'[18]TB APJ'!#REF!</definedName>
    <definedName name="A00448_" localSheetId="15">'[18]TB APJ'!#REF!</definedName>
    <definedName name="A00448_" localSheetId="9">'[18]TB APJ'!#REF!</definedName>
    <definedName name="A00448_" localSheetId="0">'[18]TB APJ'!#REF!</definedName>
    <definedName name="A00448_">'[18]TB APJ'!#REF!</definedName>
    <definedName name="A0045_">[19]tb!$B$92</definedName>
    <definedName name="A00453_">'[18]TB APJ'!$B$32</definedName>
    <definedName name="A00457_">'[18]TB APJ'!$B$34</definedName>
    <definedName name="A0048_" localSheetId="1">'[18]TB APJ'!#REF!</definedName>
    <definedName name="A0048_" localSheetId="15">'[18]TB APJ'!#REF!</definedName>
    <definedName name="A0048_" localSheetId="9">'[18]TB APJ'!#REF!</definedName>
    <definedName name="A0048_" localSheetId="0">'[18]TB APJ'!#REF!</definedName>
    <definedName name="A0048_">'[18]TB APJ'!#REF!</definedName>
    <definedName name="A0049_" localSheetId="1">'[17]TB WORLI'!#REF!</definedName>
    <definedName name="A0049_" localSheetId="15">'[17]TB WORLI'!#REF!</definedName>
    <definedName name="A0049_" localSheetId="9">'[17]TB WORLI'!#REF!</definedName>
    <definedName name="A0049_" localSheetId="0">'[17]TB WORLI'!#REF!</definedName>
    <definedName name="A0049_">'[17]TB WORLI'!#REF!</definedName>
    <definedName name="A0050_">'[18]TB APJ'!$B$36</definedName>
    <definedName name="A0052_" localSheetId="1">'[18]TB APJ'!#REF!</definedName>
    <definedName name="A0052_" localSheetId="15">'[18]TB APJ'!#REF!</definedName>
    <definedName name="A0052_" localSheetId="9">'[18]TB APJ'!#REF!</definedName>
    <definedName name="A0052_" localSheetId="0">'[18]TB APJ'!#REF!</definedName>
    <definedName name="A0052_">'[18]TB APJ'!#REF!</definedName>
    <definedName name="A0053_">'[18]TB APJ'!$B$37</definedName>
    <definedName name="A0057_">'[18]TB APJ'!$B$38</definedName>
    <definedName name="A0060_">'[18]TB APJ'!$B$39</definedName>
    <definedName name="A0061_" localSheetId="1">'[18]TB APJ'!#REF!</definedName>
    <definedName name="A0061_" localSheetId="15">'[18]TB APJ'!#REF!</definedName>
    <definedName name="A0061_" localSheetId="9">'[18]TB APJ'!#REF!</definedName>
    <definedName name="A0061_" localSheetId="0">'[18]TB APJ'!#REF!</definedName>
    <definedName name="A0061_">'[18]TB APJ'!#REF!</definedName>
    <definedName name="A0062_">'[18]TB APJ'!$B$40</definedName>
    <definedName name="A0064_">[19]tb!$B$101</definedName>
    <definedName name="A0065_">'[18]TB APJ'!$B$357</definedName>
    <definedName name="A0066_">'[18]TB APJ'!$B$41</definedName>
    <definedName name="A0067_">'[18]TB APJ'!$B$42</definedName>
    <definedName name="A0069_" localSheetId="1">'[17]TB APJ'!#REF!</definedName>
    <definedName name="A0069_" localSheetId="15">'[17]TB APJ'!#REF!</definedName>
    <definedName name="A0069_" localSheetId="9">'[17]TB APJ'!#REF!</definedName>
    <definedName name="A0069_" localSheetId="0">'[17]TB APJ'!#REF!</definedName>
    <definedName name="A0069_">'[17]TB APJ'!#REF!</definedName>
    <definedName name="A0070_">'[18]TB APJ'!$B$43</definedName>
    <definedName name="A0071_">'[18]TB APJ'!$B$44</definedName>
    <definedName name="A0072_">'[18]TB APJ'!$B$45</definedName>
    <definedName name="A0074_">'[18]TB APJ'!$B$46</definedName>
    <definedName name="A0075_">'[18]TB APJ'!$B$425</definedName>
    <definedName name="A0078_" localSheetId="1">'[18]TB APJ'!#REF!</definedName>
    <definedName name="A0078_" localSheetId="15">'[18]TB APJ'!#REF!</definedName>
    <definedName name="A0078_" localSheetId="9">'[18]TB APJ'!#REF!</definedName>
    <definedName name="A0078_" localSheetId="0">'[18]TB APJ'!#REF!</definedName>
    <definedName name="A0078_">'[18]TB APJ'!#REF!</definedName>
    <definedName name="A0080_">'[18]TB APJ'!$B$47</definedName>
    <definedName name="A0081_">'[18]TB APJ'!$B$48</definedName>
    <definedName name="A0082_" localSheetId="1">'[18]TB APJ'!#REF!</definedName>
    <definedName name="A0082_" localSheetId="15">'[18]TB APJ'!#REF!</definedName>
    <definedName name="A0082_" localSheetId="9">'[18]TB APJ'!#REF!</definedName>
    <definedName name="A0082_" localSheetId="0">'[18]TB APJ'!#REF!</definedName>
    <definedName name="A0082_">'[18]TB APJ'!#REF!</definedName>
    <definedName name="A0084_">'[18]TB APJ'!$B$49</definedName>
    <definedName name="A0085_">'[18]TB APJ'!$B$241</definedName>
    <definedName name="A0087_">'[18]TB APJ'!$B$359</definedName>
    <definedName name="A0088_">'[18]TB APJ'!$B$50</definedName>
    <definedName name="A0096_" localSheetId="1">'[18]TB APJ'!#REF!</definedName>
    <definedName name="A0096_" localSheetId="15">'[18]TB APJ'!#REF!</definedName>
    <definedName name="A0096_" localSheetId="9">'[18]TB APJ'!#REF!</definedName>
    <definedName name="A0096_" localSheetId="0">'[18]TB APJ'!#REF!</definedName>
    <definedName name="A0096_">'[18]TB APJ'!#REF!</definedName>
    <definedName name="A0100_">'[18]TB APJ'!$B$51</definedName>
    <definedName name="A0101_" localSheetId="1">'[18]TB APJ'!#REF!</definedName>
    <definedName name="A0101_" localSheetId="15">'[18]TB APJ'!#REF!</definedName>
    <definedName name="A0101_" localSheetId="9">'[18]TB APJ'!#REF!</definedName>
    <definedName name="A0101_" localSheetId="0">'[18]TB APJ'!#REF!</definedName>
    <definedName name="A0101_">'[18]TB APJ'!#REF!</definedName>
    <definedName name="A0103_">'[18]TB APJ'!$B$268</definedName>
    <definedName name="A0114_">'[18]TB APJ'!$B$52</definedName>
    <definedName name="A0115_">'[18]TB APJ'!$B$53</definedName>
    <definedName name="A0116_">'[18]TB APJ'!$B$269</definedName>
    <definedName name="A0118_">'[18]TB APJ'!$B$54</definedName>
    <definedName name="A0119_">'[18]TB APJ'!$B$55</definedName>
    <definedName name="A0126_" localSheetId="1">'[18]TB APJ'!#REF!</definedName>
    <definedName name="A0126_" localSheetId="15">'[18]TB APJ'!#REF!</definedName>
    <definedName name="A0126_" localSheetId="9">'[18]TB APJ'!#REF!</definedName>
    <definedName name="A0126_" localSheetId="0">'[18]TB APJ'!#REF!</definedName>
    <definedName name="A0126_">'[18]TB APJ'!#REF!</definedName>
    <definedName name="A0127_" localSheetId="1">'[18]TB APJ'!#REF!</definedName>
    <definedName name="A0127_" localSheetId="15">'[18]TB APJ'!#REF!</definedName>
    <definedName name="A0127_" localSheetId="9">'[18]TB APJ'!#REF!</definedName>
    <definedName name="A0127_" localSheetId="0">'[18]TB APJ'!#REF!</definedName>
    <definedName name="A0127_">'[18]TB APJ'!#REF!</definedName>
    <definedName name="A0129_" localSheetId="1">'[18]TB APJ'!#REF!</definedName>
    <definedName name="A0129_" localSheetId="15">'[18]TB APJ'!#REF!</definedName>
    <definedName name="A0129_" localSheetId="9">'[18]TB APJ'!#REF!</definedName>
    <definedName name="A0129_" localSheetId="0">'[18]TB APJ'!#REF!</definedName>
    <definedName name="A0129_">'[18]TB APJ'!#REF!</definedName>
    <definedName name="A0141_">'[18]TB APJ'!$B$56</definedName>
    <definedName name="A0142_">'[18]TB APJ'!$B$57</definedName>
    <definedName name="A0146_" localSheetId="1">'[17]TB APJ'!#REF!</definedName>
    <definedName name="A0146_" localSheetId="15">'[17]TB APJ'!#REF!</definedName>
    <definedName name="A0146_" localSheetId="9">'[17]TB APJ'!#REF!</definedName>
    <definedName name="A0146_" localSheetId="0">'[17]TB APJ'!#REF!</definedName>
    <definedName name="A0146_">'[17]TB APJ'!#REF!</definedName>
    <definedName name="A0154_">'[18]TB APJ'!$B$58</definedName>
    <definedName name="A0155_" localSheetId="1">'[18]TB APJ'!#REF!</definedName>
    <definedName name="A0155_" localSheetId="15">'[18]TB APJ'!#REF!</definedName>
    <definedName name="A0155_" localSheetId="9">'[18]TB APJ'!#REF!</definedName>
    <definedName name="A0155_" localSheetId="0">'[18]TB APJ'!#REF!</definedName>
    <definedName name="A0155_">'[18]TB APJ'!#REF!</definedName>
    <definedName name="A10002_">'[18]TB APJ'!$B$59</definedName>
    <definedName name="A10007_">'[18]TB APJ'!$B$312</definedName>
    <definedName name="A10019_">'[17]TB APJ'!$B$48</definedName>
    <definedName name="A10037_" localSheetId="1">'[17]TB APJ'!#REF!</definedName>
    <definedName name="A10037_" localSheetId="15">'[17]TB APJ'!#REF!</definedName>
    <definedName name="A10037_" localSheetId="9">'[17]TB APJ'!#REF!</definedName>
    <definedName name="A10037_" localSheetId="0">'[17]TB APJ'!#REF!</definedName>
    <definedName name="A10037_">'[17]TB APJ'!#REF!</definedName>
    <definedName name="A10041_" localSheetId="1">'[17]TB APJ'!#REF!</definedName>
    <definedName name="A10041_" localSheetId="15">'[17]TB APJ'!#REF!</definedName>
    <definedName name="A10041_" localSheetId="9">'[17]TB APJ'!#REF!</definedName>
    <definedName name="A10041_" localSheetId="0">'[17]TB APJ'!#REF!</definedName>
    <definedName name="A10041_">'[17]TB APJ'!#REF!</definedName>
    <definedName name="A10066_" localSheetId="1">'[17]TB APJ'!#REF!</definedName>
    <definedName name="A10066_" localSheetId="15">'[17]TB APJ'!#REF!</definedName>
    <definedName name="A10066_" localSheetId="9">'[17]TB APJ'!#REF!</definedName>
    <definedName name="A10066_" localSheetId="0">'[17]TB APJ'!#REF!</definedName>
    <definedName name="A10066_">'[17]TB APJ'!#REF!</definedName>
    <definedName name="A10069_" localSheetId="1">'[17]TB APJ'!#REF!</definedName>
    <definedName name="A10069_" localSheetId="15">'[17]TB APJ'!#REF!</definedName>
    <definedName name="A10069_" localSheetId="9">'[17]TB APJ'!#REF!</definedName>
    <definedName name="A10069_" localSheetId="0">'[17]TB APJ'!#REF!</definedName>
    <definedName name="A10069_">'[17]TB APJ'!#REF!</definedName>
    <definedName name="A10087_" localSheetId="1">'[17]TB APJ'!#REF!</definedName>
    <definedName name="A10087_" localSheetId="15">'[17]TB APJ'!#REF!</definedName>
    <definedName name="A10087_" localSheetId="0">'[17]TB APJ'!#REF!</definedName>
    <definedName name="A10087_">'[17]TB APJ'!#REF!</definedName>
    <definedName name="A10104_">'[18]TB APJ'!$B$315</definedName>
    <definedName name="A10106_" localSheetId="1">'[17]TB APJ'!#REF!</definedName>
    <definedName name="A10106_" localSheetId="15">'[17]TB APJ'!#REF!</definedName>
    <definedName name="A10106_" localSheetId="9">'[17]TB APJ'!#REF!</definedName>
    <definedName name="A10106_" localSheetId="0">'[17]TB APJ'!#REF!</definedName>
    <definedName name="A10106_">'[17]TB APJ'!#REF!</definedName>
    <definedName name="A10112_">'[18]TB APJ'!$B$60</definedName>
    <definedName name="A10117_">'[18]TB APJ'!$B$61</definedName>
    <definedName name="A10119_">'[18]TB APJ'!$B$426</definedName>
    <definedName name="A10122_">'[18]TB APJ'!$B$63</definedName>
    <definedName name="A10123_">'[18]TB APJ'!$B$64</definedName>
    <definedName name="A10124_">'[18]TB APJ'!$B$65</definedName>
    <definedName name="AA" localSheetId="1">#REF!</definedName>
    <definedName name="AA" localSheetId="15">#REF!</definedName>
    <definedName name="AA" localSheetId="34">#REF!</definedName>
    <definedName name="AA" localSheetId="0">#REF!</definedName>
    <definedName name="AA">#REF!</definedName>
    <definedName name="AA0005_" localSheetId="1">'[17]TB WORLI'!#REF!</definedName>
    <definedName name="AA0005_" localSheetId="15">'[17]TB WORLI'!#REF!</definedName>
    <definedName name="AA0005_" localSheetId="34">'[17]TB WORLI'!#REF!</definedName>
    <definedName name="AA0005_" localSheetId="0">'[17]TB WORLI'!#REF!</definedName>
    <definedName name="AA0005_">'[17]TB WORLI'!#REF!</definedName>
    <definedName name="AA0015_" localSheetId="1">'[17]TB WORLI'!#REF!</definedName>
    <definedName name="AA0015_" localSheetId="15">'[17]TB WORLI'!#REF!</definedName>
    <definedName name="AA0015_" localSheetId="34">'[17]TB WORLI'!#REF!</definedName>
    <definedName name="AA0015_" localSheetId="0">'[17]TB WORLI'!#REF!</definedName>
    <definedName name="AA0015_">'[17]TB WORLI'!#REF!</definedName>
    <definedName name="AA00212_" localSheetId="1">'[17]TB WORLI'!#REF!</definedName>
    <definedName name="AA00212_" localSheetId="15">'[17]TB WORLI'!#REF!</definedName>
    <definedName name="AA00212_" localSheetId="34">'[17]TB WORLI'!#REF!</definedName>
    <definedName name="AA00212_" localSheetId="0">'[17]TB WORLI'!#REF!</definedName>
    <definedName name="AA00212_">'[17]TB WORLI'!#REF!</definedName>
    <definedName name="AA00223_" localSheetId="1">'[17]TB WORLI'!#REF!</definedName>
    <definedName name="AA00223_" localSheetId="15">'[17]TB WORLI'!#REF!</definedName>
    <definedName name="AA00223_" localSheetId="34">'[17]TB WORLI'!#REF!</definedName>
    <definedName name="AA00223_" localSheetId="0">'[17]TB WORLI'!#REF!</definedName>
    <definedName name="AA00223_">'[17]TB WORLI'!#REF!</definedName>
    <definedName name="AA00231_" localSheetId="1">'[17]TB WORLI'!#REF!</definedName>
    <definedName name="AA00231_" localSheetId="15">'[17]TB WORLI'!#REF!</definedName>
    <definedName name="AA00231_" localSheetId="0">'[17]TB WORLI'!#REF!</definedName>
    <definedName name="AA00231_">'[17]TB WORLI'!#REF!</definedName>
    <definedName name="AA00237_" localSheetId="1">'[17]TB WORLI'!#REF!</definedName>
    <definedName name="AA00237_" localSheetId="15">'[17]TB WORLI'!#REF!</definedName>
    <definedName name="AA00237_" localSheetId="0">'[17]TB WORLI'!#REF!</definedName>
    <definedName name="AA00237_">'[17]TB WORLI'!#REF!</definedName>
    <definedName name="AA0026_" localSheetId="1">'[17]TB WORLI'!#REF!</definedName>
    <definedName name="AA0026_" localSheetId="15">'[17]TB WORLI'!#REF!</definedName>
    <definedName name="AA0026_" localSheetId="0">'[17]TB WORLI'!#REF!</definedName>
    <definedName name="AA0026_">'[17]TB WORLI'!#REF!</definedName>
    <definedName name="AA00273_" localSheetId="1">'[17]TB WORLI'!#REF!</definedName>
    <definedName name="AA00273_" localSheetId="15">'[17]TB WORLI'!#REF!</definedName>
    <definedName name="AA00273_" localSheetId="0">'[17]TB WORLI'!#REF!</definedName>
    <definedName name="AA00273_">'[17]TB WORLI'!#REF!</definedName>
    <definedName name="AA00288_" localSheetId="1">'[17]TB WORLI'!#REF!</definedName>
    <definedName name="AA00288_" localSheetId="15">'[17]TB WORLI'!#REF!</definedName>
    <definedName name="AA00288_" localSheetId="0">'[17]TB WORLI'!#REF!</definedName>
    <definedName name="AA00288_">'[17]TB WORLI'!#REF!</definedName>
    <definedName name="AA00291_" localSheetId="1">'[17]TB WORLI'!#REF!</definedName>
    <definedName name="AA00291_" localSheetId="15">'[17]TB WORLI'!#REF!</definedName>
    <definedName name="AA00291_" localSheetId="0">'[17]TB WORLI'!#REF!</definedName>
    <definedName name="AA00291_">'[17]TB WORLI'!#REF!</definedName>
    <definedName name="AA00294_" localSheetId="1">'[17]TB WORLI'!#REF!</definedName>
    <definedName name="AA00294_" localSheetId="15">'[17]TB WORLI'!#REF!</definedName>
    <definedName name="AA00294_" localSheetId="0">'[17]TB WORLI'!#REF!</definedName>
    <definedName name="AA00294_">'[17]TB WORLI'!#REF!</definedName>
    <definedName name="AA00295_" localSheetId="1">'[17]TB WORLI'!#REF!</definedName>
    <definedName name="AA00295_" localSheetId="15">'[17]TB WORLI'!#REF!</definedName>
    <definedName name="AA00295_" localSheetId="0">'[17]TB WORLI'!#REF!</definedName>
    <definedName name="AA00295_">'[17]TB WORLI'!#REF!</definedName>
    <definedName name="AA00298_" localSheetId="1">'[17]TB WORLI'!#REF!</definedName>
    <definedName name="AA00298_" localSheetId="15">'[17]TB WORLI'!#REF!</definedName>
    <definedName name="AA00298_" localSheetId="0">'[17]TB WORLI'!#REF!</definedName>
    <definedName name="AA00298_">'[17]TB WORLI'!#REF!</definedName>
    <definedName name="AA00301_" localSheetId="1">'[17]TB WORLI'!#REF!</definedName>
    <definedName name="AA00301_" localSheetId="15">'[17]TB WORLI'!#REF!</definedName>
    <definedName name="AA00301_" localSheetId="0">'[17]TB WORLI'!#REF!</definedName>
    <definedName name="AA00301_">'[17]TB WORLI'!#REF!</definedName>
    <definedName name="AA00302_" localSheetId="1">'[17]TB WORLI'!#REF!</definedName>
    <definedName name="AA00302_" localSheetId="15">'[17]TB WORLI'!#REF!</definedName>
    <definedName name="AA00302_" localSheetId="0">'[17]TB WORLI'!#REF!</definedName>
    <definedName name="AA00302_">'[17]TB WORLI'!#REF!</definedName>
    <definedName name="AA00306_" localSheetId="1">'[17]TB WORLI'!#REF!</definedName>
    <definedName name="AA00306_" localSheetId="15">'[17]TB WORLI'!#REF!</definedName>
    <definedName name="AA00306_" localSheetId="0">'[17]TB WORLI'!#REF!</definedName>
    <definedName name="AA00306_">'[17]TB WORLI'!#REF!</definedName>
    <definedName name="AA00307_" localSheetId="1">'[17]TB WORLI'!#REF!</definedName>
    <definedName name="AA00307_" localSheetId="15">'[17]TB WORLI'!#REF!</definedName>
    <definedName name="AA00307_" localSheetId="0">'[17]TB WORLI'!#REF!</definedName>
    <definedName name="AA00307_">'[17]TB WORLI'!#REF!</definedName>
    <definedName name="AA00308_" localSheetId="1">'[17]TB WORLI'!#REF!</definedName>
    <definedName name="AA00308_" localSheetId="15">'[17]TB WORLI'!#REF!</definedName>
    <definedName name="AA00308_" localSheetId="0">'[17]TB WORLI'!#REF!</definedName>
    <definedName name="AA00308_">'[17]TB WORLI'!#REF!</definedName>
    <definedName name="AA00310_" localSheetId="1">'[17]TB WORLI'!#REF!</definedName>
    <definedName name="AA00310_" localSheetId="15">'[17]TB WORLI'!#REF!</definedName>
    <definedName name="AA00310_" localSheetId="0">'[17]TB WORLI'!#REF!</definedName>
    <definedName name="AA00310_">'[17]TB WORLI'!#REF!</definedName>
    <definedName name="AA00318_" localSheetId="1">'[17]TB WORLI'!#REF!</definedName>
    <definedName name="AA00318_" localSheetId="15">'[17]TB WORLI'!#REF!</definedName>
    <definedName name="AA00318_" localSheetId="0">'[17]TB WORLI'!#REF!</definedName>
    <definedName name="AA00318_">'[17]TB WORLI'!#REF!</definedName>
    <definedName name="AA00321_" localSheetId="1">'[17]TB WORLI'!#REF!</definedName>
    <definedName name="AA00321_" localSheetId="15">'[17]TB WORLI'!#REF!</definedName>
    <definedName name="AA00321_" localSheetId="0">'[17]TB WORLI'!#REF!</definedName>
    <definedName name="AA00321_">'[17]TB WORLI'!#REF!</definedName>
    <definedName name="AA00324_" localSheetId="1">'[17]TB WORLI'!#REF!</definedName>
    <definedName name="AA00324_" localSheetId="15">'[17]TB WORLI'!#REF!</definedName>
    <definedName name="AA00324_" localSheetId="0">'[17]TB WORLI'!#REF!</definedName>
    <definedName name="AA00324_">'[17]TB WORLI'!#REF!</definedName>
    <definedName name="AA00325_" localSheetId="1">'[17]TB WORLI'!#REF!</definedName>
    <definedName name="AA00325_" localSheetId="15">'[17]TB WORLI'!#REF!</definedName>
    <definedName name="AA00325_" localSheetId="0">'[17]TB WORLI'!#REF!</definedName>
    <definedName name="AA00325_">'[17]TB WORLI'!#REF!</definedName>
    <definedName name="AA00326_" localSheetId="1">'[17]TB WORLI'!#REF!</definedName>
    <definedName name="AA00326_" localSheetId="15">'[17]TB WORLI'!#REF!</definedName>
    <definedName name="AA00326_" localSheetId="0">'[17]TB WORLI'!#REF!</definedName>
    <definedName name="AA00326_">'[17]TB WORLI'!#REF!</definedName>
    <definedName name="AA00327_" localSheetId="1">'[17]TB WORLI'!#REF!</definedName>
    <definedName name="AA00327_" localSheetId="15">'[17]TB WORLI'!#REF!</definedName>
    <definedName name="AA00327_" localSheetId="0">'[17]TB WORLI'!#REF!</definedName>
    <definedName name="AA00327_">'[17]TB WORLI'!#REF!</definedName>
    <definedName name="AA00328_" localSheetId="1">'[17]TB WORLI'!#REF!</definedName>
    <definedName name="AA00328_" localSheetId="15">'[17]TB WORLI'!#REF!</definedName>
    <definedName name="AA00328_" localSheetId="0">'[17]TB WORLI'!#REF!</definedName>
    <definedName name="AA00328_">'[17]TB WORLI'!#REF!</definedName>
    <definedName name="AA00329_" localSheetId="1">'[17]TB WORLI'!#REF!</definedName>
    <definedName name="AA00329_" localSheetId="15">'[17]TB WORLI'!#REF!</definedName>
    <definedName name="AA00329_" localSheetId="0">'[17]TB WORLI'!#REF!</definedName>
    <definedName name="AA00329_">'[17]TB WORLI'!#REF!</definedName>
    <definedName name="AA00330_" localSheetId="1">'[17]TB WORLI'!#REF!</definedName>
    <definedName name="AA00330_" localSheetId="15">'[17]TB WORLI'!#REF!</definedName>
    <definedName name="AA00330_" localSheetId="0">'[17]TB WORLI'!#REF!</definedName>
    <definedName name="AA00330_">'[17]TB WORLI'!#REF!</definedName>
    <definedName name="AA00332_" localSheetId="1">'[17]TB WORLI'!#REF!</definedName>
    <definedName name="AA00332_" localSheetId="15">'[17]TB WORLI'!#REF!</definedName>
    <definedName name="AA00332_" localSheetId="0">'[17]TB WORLI'!#REF!</definedName>
    <definedName name="AA00332_">'[17]TB WORLI'!#REF!</definedName>
    <definedName name="AA00337_" localSheetId="1">'[17]TB WORLI'!#REF!</definedName>
    <definedName name="AA00337_" localSheetId="15">'[17]TB WORLI'!#REF!</definedName>
    <definedName name="AA00337_" localSheetId="0">'[17]TB WORLI'!#REF!</definedName>
    <definedName name="AA00337_">'[17]TB WORLI'!#REF!</definedName>
    <definedName name="AA00338_" localSheetId="1">'[17]TB WORLI'!#REF!</definedName>
    <definedName name="AA00338_" localSheetId="15">'[17]TB WORLI'!#REF!</definedName>
    <definedName name="AA00338_" localSheetId="0">'[17]TB WORLI'!#REF!</definedName>
    <definedName name="AA00338_">'[17]TB WORLI'!#REF!</definedName>
    <definedName name="AA00361_" localSheetId="1">'[17]TB WORLI'!#REF!</definedName>
    <definedName name="AA00361_" localSheetId="15">'[17]TB WORLI'!#REF!</definedName>
    <definedName name="AA00361_" localSheetId="0">'[17]TB WORLI'!#REF!</definedName>
    <definedName name="AA00361_">'[17]TB WORLI'!#REF!</definedName>
    <definedName name="AA00362_" localSheetId="1">'[17]TB WORLI'!#REF!</definedName>
    <definedName name="AA00362_" localSheetId="15">'[17]TB WORLI'!#REF!</definedName>
    <definedName name="AA00362_" localSheetId="0">'[17]TB WORLI'!#REF!</definedName>
    <definedName name="AA00362_">'[17]TB WORLI'!#REF!</definedName>
    <definedName name="AA00367_" localSheetId="1">'[17]TB WORLI'!#REF!</definedName>
    <definedName name="AA00367_" localSheetId="15">'[17]TB WORLI'!#REF!</definedName>
    <definedName name="AA00367_" localSheetId="0">'[17]TB WORLI'!#REF!</definedName>
    <definedName name="AA00367_">'[17]TB WORLI'!#REF!</definedName>
    <definedName name="AA00368_" localSheetId="1">'[17]TB WORLI'!#REF!</definedName>
    <definedName name="AA00368_" localSheetId="15">'[17]TB WORLI'!#REF!</definedName>
    <definedName name="AA00368_" localSheetId="0">'[17]TB WORLI'!#REF!</definedName>
    <definedName name="AA00368_">'[17]TB WORLI'!#REF!</definedName>
    <definedName name="AA00369_" localSheetId="1">'[17]TB WORLI'!#REF!</definedName>
    <definedName name="AA00369_" localSheetId="15">'[17]TB WORLI'!#REF!</definedName>
    <definedName name="AA00369_" localSheetId="0">'[17]TB WORLI'!#REF!</definedName>
    <definedName name="AA00369_">'[17]TB WORLI'!#REF!</definedName>
    <definedName name="AA00370_" localSheetId="1">'[17]TB WORLI'!#REF!</definedName>
    <definedName name="AA00370_" localSheetId="15">'[17]TB WORLI'!#REF!</definedName>
    <definedName name="AA00370_" localSheetId="0">'[17]TB WORLI'!#REF!</definedName>
    <definedName name="AA00370_">'[17]TB WORLI'!#REF!</definedName>
    <definedName name="AA00372_" localSheetId="1">'[17]TB WORLI'!#REF!</definedName>
    <definedName name="AA00372_" localSheetId="15">'[17]TB WORLI'!#REF!</definedName>
    <definedName name="AA00372_" localSheetId="0">'[17]TB WORLI'!#REF!</definedName>
    <definedName name="AA00372_">'[17]TB WORLI'!#REF!</definedName>
    <definedName name="AA00373_" localSheetId="1">'[17]TB WORLI'!#REF!</definedName>
    <definedName name="AA00373_" localSheetId="15">'[17]TB WORLI'!#REF!</definedName>
    <definedName name="AA00373_" localSheetId="0">'[17]TB WORLI'!#REF!</definedName>
    <definedName name="AA00373_">'[17]TB WORLI'!#REF!</definedName>
    <definedName name="AA00374_" localSheetId="1">'[17]TB WORLI'!#REF!</definedName>
    <definedName name="AA00374_" localSheetId="15">'[17]TB WORLI'!#REF!</definedName>
    <definedName name="AA00374_" localSheetId="0">'[17]TB WORLI'!#REF!</definedName>
    <definedName name="AA00374_">'[17]TB WORLI'!#REF!</definedName>
    <definedName name="AA00375_" localSheetId="1">'[17]TB WORLI'!#REF!</definedName>
    <definedName name="AA00375_" localSheetId="15">'[17]TB WORLI'!#REF!</definedName>
    <definedName name="AA00375_" localSheetId="0">'[17]TB WORLI'!#REF!</definedName>
    <definedName name="AA00375_">'[17]TB WORLI'!#REF!</definedName>
    <definedName name="AA00376_" localSheetId="1">'[17]TB WORLI'!#REF!</definedName>
    <definedName name="AA00376_" localSheetId="15">'[17]TB WORLI'!#REF!</definedName>
    <definedName name="AA00376_" localSheetId="0">'[17]TB WORLI'!#REF!</definedName>
    <definedName name="AA00376_">'[17]TB WORLI'!#REF!</definedName>
    <definedName name="AA00377_" localSheetId="1">'[17]TB WORLI'!#REF!</definedName>
    <definedName name="AA00377_" localSheetId="15">'[17]TB WORLI'!#REF!</definedName>
    <definedName name="AA00377_" localSheetId="0">'[17]TB WORLI'!#REF!</definedName>
    <definedName name="AA00377_">'[17]TB WORLI'!#REF!</definedName>
    <definedName name="AA00378_" localSheetId="1">'[17]TB WORLI'!#REF!</definedName>
    <definedName name="AA00378_" localSheetId="15">'[17]TB WORLI'!#REF!</definedName>
    <definedName name="AA00378_" localSheetId="0">'[17]TB WORLI'!#REF!</definedName>
    <definedName name="AA00378_">'[17]TB WORLI'!#REF!</definedName>
    <definedName name="AA00379_" localSheetId="1">'[17]TB WORLI'!#REF!</definedName>
    <definedName name="AA00379_" localSheetId="15">'[17]TB WORLI'!#REF!</definedName>
    <definedName name="AA00379_" localSheetId="0">'[17]TB WORLI'!#REF!</definedName>
    <definedName name="AA00379_">'[17]TB WORLI'!#REF!</definedName>
    <definedName name="AA0038_" localSheetId="1">'[17]TB WORLI'!#REF!</definedName>
    <definedName name="AA0038_" localSheetId="15">'[17]TB WORLI'!#REF!</definedName>
    <definedName name="AA0038_" localSheetId="0">'[17]TB WORLI'!#REF!</definedName>
    <definedName name="AA0038_">'[17]TB WORLI'!#REF!</definedName>
    <definedName name="AA00380_" localSheetId="1">'[17]TB WORLI'!#REF!</definedName>
    <definedName name="AA00380_" localSheetId="15">'[17]TB WORLI'!#REF!</definedName>
    <definedName name="AA00380_" localSheetId="0">'[17]TB WORLI'!#REF!</definedName>
    <definedName name="AA00380_">'[17]TB WORLI'!#REF!</definedName>
    <definedName name="AA00381_" localSheetId="1">'[17]TB WORLI'!#REF!</definedName>
    <definedName name="AA00381_" localSheetId="15">'[17]TB WORLI'!#REF!</definedName>
    <definedName name="AA00381_" localSheetId="0">'[17]TB WORLI'!#REF!</definedName>
    <definedName name="AA00381_">'[17]TB WORLI'!#REF!</definedName>
    <definedName name="AA00382_" localSheetId="1">'[17]TB WORLI'!#REF!</definedName>
    <definedName name="AA00382_" localSheetId="15">'[17]TB WORLI'!#REF!</definedName>
    <definedName name="AA00382_" localSheetId="0">'[17]TB WORLI'!#REF!</definedName>
    <definedName name="AA00382_">'[17]TB WORLI'!#REF!</definedName>
    <definedName name="AA00386_" localSheetId="1">'[17]TB WORLI'!#REF!</definedName>
    <definedName name="AA00386_" localSheetId="15">'[17]TB WORLI'!#REF!</definedName>
    <definedName name="AA00386_" localSheetId="0">'[17]TB WORLI'!#REF!</definedName>
    <definedName name="AA00386_">'[17]TB WORLI'!#REF!</definedName>
    <definedName name="AA00387_" localSheetId="1">'[17]TB WORLI'!#REF!</definedName>
    <definedName name="AA00387_" localSheetId="15">'[17]TB WORLI'!#REF!</definedName>
    <definedName name="AA00387_" localSheetId="0">'[17]TB WORLI'!#REF!</definedName>
    <definedName name="AA00387_">'[17]TB WORLI'!#REF!</definedName>
    <definedName name="AA00388_" localSheetId="1">'[17]TB WORLI'!#REF!</definedName>
    <definedName name="AA00388_" localSheetId="15">'[17]TB WORLI'!#REF!</definedName>
    <definedName name="AA00388_" localSheetId="0">'[17]TB WORLI'!#REF!</definedName>
    <definedName name="AA00388_">'[17]TB WORLI'!#REF!</definedName>
    <definedName name="AA00389_" localSheetId="1">'[17]TB WORLI'!#REF!</definedName>
    <definedName name="AA00389_" localSheetId="15">'[17]TB WORLI'!#REF!</definedName>
    <definedName name="AA00389_" localSheetId="0">'[17]TB WORLI'!#REF!</definedName>
    <definedName name="AA00389_">'[17]TB WORLI'!#REF!</definedName>
    <definedName name="AA00390_" localSheetId="1">'[17]TB WORLI'!#REF!</definedName>
    <definedName name="AA00390_" localSheetId="15">'[17]TB WORLI'!#REF!</definedName>
    <definedName name="AA00390_" localSheetId="0">'[17]TB WORLI'!#REF!</definedName>
    <definedName name="AA00390_">'[17]TB WORLI'!#REF!</definedName>
    <definedName name="AA00392_" localSheetId="1">'[17]TB WORLI'!#REF!</definedName>
    <definedName name="AA00392_" localSheetId="15">'[17]TB WORLI'!#REF!</definedName>
    <definedName name="AA00392_" localSheetId="0">'[17]TB WORLI'!#REF!</definedName>
    <definedName name="AA00392_">'[17]TB WORLI'!#REF!</definedName>
    <definedName name="AA00397_" localSheetId="1">'[17]TB WORLI'!#REF!</definedName>
    <definedName name="AA00397_" localSheetId="15">'[17]TB WORLI'!#REF!</definedName>
    <definedName name="AA00397_" localSheetId="0">'[17]TB WORLI'!#REF!</definedName>
    <definedName name="AA00397_">'[17]TB WORLI'!#REF!</definedName>
    <definedName name="AA00400_" localSheetId="1">'[17]TB WORLI'!#REF!</definedName>
    <definedName name="AA00400_" localSheetId="15">'[17]TB WORLI'!#REF!</definedName>
    <definedName name="AA00400_" localSheetId="0">'[17]TB WORLI'!#REF!</definedName>
    <definedName name="AA00400_">'[17]TB WORLI'!#REF!</definedName>
    <definedName name="AA00402_" localSheetId="1">'[17]TB WORLI'!#REF!</definedName>
    <definedName name="AA00402_" localSheetId="15">'[17]TB WORLI'!#REF!</definedName>
    <definedName name="AA00402_" localSheetId="0">'[17]TB WORLI'!#REF!</definedName>
    <definedName name="AA00402_">'[17]TB WORLI'!#REF!</definedName>
    <definedName name="AA00420_" localSheetId="1">'[17]TB WORLI'!#REF!</definedName>
    <definedName name="AA00420_" localSheetId="15">'[17]TB WORLI'!#REF!</definedName>
    <definedName name="AA00420_" localSheetId="0">'[17]TB WORLI'!#REF!</definedName>
    <definedName name="AA00420_">'[17]TB WORLI'!#REF!</definedName>
    <definedName name="AA00434_" localSheetId="1">'[17]TB WORLI'!#REF!</definedName>
    <definedName name="AA00434_" localSheetId="15">'[17]TB WORLI'!#REF!</definedName>
    <definedName name="AA00434_" localSheetId="0">'[17]TB WORLI'!#REF!</definedName>
    <definedName name="AA00434_">'[17]TB WORLI'!#REF!</definedName>
    <definedName name="AA00435_" localSheetId="1">'[17]TB WORLI'!#REF!</definedName>
    <definedName name="AA00435_" localSheetId="15">'[17]TB WORLI'!#REF!</definedName>
    <definedName name="AA00435_" localSheetId="0">'[17]TB WORLI'!#REF!</definedName>
    <definedName name="AA00435_">'[17]TB WORLI'!#REF!</definedName>
    <definedName name="AA00436_" localSheetId="1">'[17]TB WORLI'!#REF!</definedName>
    <definedName name="AA00436_" localSheetId="15">'[17]TB WORLI'!#REF!</definedName>
    <definedName name="AA00436_" localSheetId="0">'[17]TB WORLI'!#REF!</definedName>
    <definedName name="AA00436_">'[17]TB WORLI'!#REF!</definedName>
    <definedName name="AA00437_" localSheetId="1">'[17]TB WORLI'!#REF!</definedName>
    <definedName name="AA00437_" localSheetId="15">'[17]TB WORLI'!#REF!</definedName>
    <definedName name="AA00437_" localSheetId="0">'[17]TB WORLI'!#REF!</definedName>
    <definedName name="AA00437_">'[17]TB WORLI'!#REF!</definedName>
    <definedName name="AA00439_" localSheetId="1">'[17]TB WORLI'!#REF!</definedName>
    <definedName name="AA00439_" localSheetId="15">'[17]TB WORLI'!#REF!</definedName>
    <definedName name="AA00439_" localSheetId="0">'[17]TB WORLI'!#REF!</definedName>
    <definedName name="AA00439_">'[17]TB WORLI'!#REF!</definedName>
    <definedName name="AA00440_" localSheetId="1">'[17]TB WORLI'!#REF!</definedName>
    <definedName name="AA00440_" localSheetId="15">'[17]TB WORLI'!#REF!</definedName>
    <definedName name="AA00440_" localSheetId="0">'[17]TB WORLI'!#REF!</definedName>
    <definedName name="AA00440_">'[17]TB WORLI'!#REF!</definedName>
    <definedName name="AA00441_" localSheetId="1">'[17]TB WORLI'!#REF!</definedName>
    <definedName name="AA00441_" localSheetId="15">'[17]TB WORLI'!#REF!</definedName>
    <definedName name="AA00441_" localSheetId="0">'[17]TB WORLI'!#REF!</definedName>
    <definedName name="AA00441_">'[17]TB WORLI'!#REF!</definedName>
    <definedName name="AA00442_" localSheetId="1">'[17]TB WORLI'!#REF!</definedName>
    <definedName name="AA00442_" localSheetId="15">'[17]TB WORLI'!#REF!</definedName>
    <definedName name="AA00442_" localSheetId="0">'[17]TB WORLI'!#REF!</definedName>
    <definedName name="AA00442_">'[17]TB WORLI'!#REF!</definedName>
    <definedName name="AA00444_" localSheetId="1">'[17]TB WORLI'!#REF!</definedName>
    <definedName name="AA00444_" localSheetId="15">'[17]TB WORLI'!#REF!</definedName>
    <definedName name="AA00444_" localSheetId="0">'[17]TB WORLI'!#REF!</definedName>
    <definedName name="AA00444_">'[17]TB WORLI'!#REF!</definedName>
    <definedName name="AA00445_" localSheetId="1">'[17]TB WORLI'!#REF!</definedName>
    <definedName name="AA00445_" localSheetId="15">'[17]TB WORLI'!#REF!</definedName>
    <definedName name="AA00445_" localSheetId="0">'[17]TB WORLI'!#REF!</definedName>
    <definedName name="AA00445_">'[17]TB WORLI'!#REF!</definedName>
    <definedName name="AA00446_" localSheetId="1">'[17]TB WORLI'!#REF!</definedName>
    <definedName name="AA00446_" localSheetId="15">'[17]TB WORLI'!#REF!</definedName>
    <definedName name="AA00446_" localSheetId="0">'[17]TB WORLI'!#REF!</definedName>
    <definedName name="AA00446_">'[17]TB WORLI'!#REF!</definedName>
    <definedName name="AA00447_" localSheetId="1">'[17]TB WORLI'!#REF!</definedName>
    <definedName name="AA00447_" localSheetId="15">'[17]TB WORLI'!#REF!</definedName>
    <definedName name="AA00447_" localSheetId="0">'[17]TB WORLI'!#REF!</definedName>
    <definedName name="AA00447_">'[17]TB WORLI'!#REF!</definedName>
    <definedName name="AA00452_" localSheetId="1">'[17]TB WORLI'!#REF!</definedName>
    <definedName name="AA00452_" localSheetId="15">'[17]TB WORLI'!#REF!</definedName>
    <definedName name="AA00452_" localSheetId="0">'[17]TB WORLI'!#REF!</definedName>
    <definedName name="AA00452_">'[17]TB WORLI'!#REF!</definedName>
    <definedName name="AA00454_" localSheetId="1">'[17]TB WORLI'!#REF!</definedName>
    <definedName name="AA00454_" localSheetId="15">'[17]TB WORLI'!#REF!</definedName>
    <definedName name="AA00454_" localSheetId="0">'[17]TB WORLI'!#REF!</definedName>
    <definedName name="AA00454_">'[17]TB WORLI'!#REF!</definedName>
    <definedName name="AA0049_" localSheetId="1">'[17]TB WORLI'!#REF!</definedName>
    <definedName name="AA0049_" localSheetId="15">'[17]TB WORLI'!#REF!</definedName>
    <definedName name="AA0049_" localSheetId="0">'[17]TB WORLI'!#REF!</definedName>
    <definedName name="AA0049_">'[17]TB WORLI'!#REF!</definedName>
    <definedName name="AA0065_" localSheetId="1">'[17]TB WORLI'!#REF!</definedName>
    <definedName name="AA0065_" localSheetId="15">'[17]TB WORLI'!#REF!</definedName>
    <definedName name="AA0065_" localSheetId="0">'[17]TB WORLI'!#REF!</definedName>
    <definedName name="AA0065_">'[17]TB WORLI'!#REF!</definedName>
    <definedName name="AA0131_" localSheetId="1">'[17]TB WORLI'!#REF!</definedName>
    <definedName name="AA0131_" localSheetId="15">'[17]TB WORLI'!#REF!</definedName>
    <definedName name="AA0131_" localSheetId="0">'[17]TB WORLI'!#REF!</definedName>
    <definedName name="AA0131_">'[17]TB WORLI'!#REF!</definedName>
    <definedName name="AA0142_" localSheetId="1">'[17]TB WORLI'!#REF!</definedName>
    <definedName name="AA0142_" localSheetId="15">'[17]TB WORLI'!#REF!</definedName>
    <definedName name="AA0142_" localSheetId="0">'[17]TB WORLI'!#REF!</definedName>
    <definedName name="AA0142_">'[17]TB WORLI'!#REF!</definedName>
    <definedName name="AAA" localSheetId="33">#REF!</definedName>
    <definedName name="AAA" localSheetId="1">#REF!</definedName>
    <definedName name="AAA" localSheetId="19">#REF!</definedName>
    <definedName name="AAA" localSheetId="15">#REF!</definedName>
    <definedName name="AAA" localSheetId="34">#REF!</definedName>
    <definedName name="AAA" localSheetId="32">#REF!</definedName>
    <definedName name="AAA" localSheetId="35">#REF!</definedName>
    <definedName name="AAA" localSheetId="0">#REF!</definedName>
    <definedName name="AAA" localSheetId="13">#REF!</definedName>
    <definedName name="AAA">#REF!</definedName>
    <definedName name="AAAAAAA" localSheetId="33">#REF!</definedName>
    <definedName name="AAAAAAA" localSheetId="1">#REF!</definedName>
    <definedName name="AAAAAAA" localSheetId="19">#REF!</definedName>
    <definedName name="AAAAAAA" localSheetId="15">#REF!</definedName>
    <definedName name="AAAAAAA" localSheetId="32">#REF!</definedName>
    <definedName name="AAAAAAA" localSheetId="35">#REF!</definedName>
    <definedName name="AAAAAAA" localSheetId="0">#REF!</definedName>
    <definedName name="AAAAAAA" localSheetId="13">#REF!</definedName>
    <definedName name="AAAAAAA">#REF!</definedName>
    <definedName name="abc" localSheetId="33">#REF!</definedName>
    <definedName name="abc" localSheetId="1">#REF!</definedName>
    <definedName name="abc" localSheetId="19">#REF!</definedName>
    <definedName name="abc" localSheetId="15">#REF!</definedName>
    <definedName name="ABC" localSheetId="34">'[3]BS&amp;PLA'!#REF!</definedName>
    <definedName name="abc" localSheetId="32">#REF!</definedName>
    <definedName name="abc" localSheetId="35">#REF!</definedName>
    <definedName name="abc" localSheetId="0">#REF!</definedName>
    <definedName name="abc" localSheetId="13">#REF!</definedName>
    <definedName name="abc">#REF!</definedName>
    <definedName name="abnl" localSheetId="3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localSheetId="32"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localSheetId="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localSheetId="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bnl"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ACTUAL" localSheetId="1">#REF!</definedName>
    <definedName name="ACTUAL" localSheetId="15">#REF!</definedName>
    <definedName name="ACTUAL" localSheetId="9">#REF!</definedName>
    <definedName name="ACTUAL" localSheetId="0">#REF!</definedName>
    <definedName name="ACTUAL">#REF!</definedName>
    <definedName name="Actual_vs." localSheetId="1">#REF!</definedName>
    <definedName name="Actual_vs." localSheetId="15">#REF!</definedName>
    <definedName name="Actual_vs." localSheetId="9">#REF!</definedName>
    <definedName name="Actual_vs." localSheetId="0">#REF!</definedName>
    <definedName name="Actual_vs.">#REF!</definedName>
    <definedName name="AE00250_" localSheetId="1">'[17]TB WORLI'!#REF!</definedName>
    <definedName name="AE00250_" localSheetId="15">'[17]TB WORLI'!#REF!</definedName>
    <definedName name="AE00250_" localSheetId="9">'[17]TB WORLI'!#REF!</definedName>
    <definedName name="AE00250_" localSheetId="0">'[17]TB WORLI'!#REF!</definedName>
    <definedName name="AE00250_">'[17]TB WORLI'!#REF!</definedName>
    <definedName name="AE00251_" localSheetId="1">'[17]TB WORLI'!#REF!</definedName>
    <definedName name="AE00251_" localSheetId="15">'[17]TB WORLI'!#REF!</definedName>
    <definedName name="AE00251_" localSheetId="9">'[17]TB WORLI'!#REF!</definedName>
    <definedName name="AE00251_" localSheetId="0">'[17]TB WORLI'!#REF!</definedName>
    <definedName name="AE00251_">'[17]TB WORLI'!#REF!</definedName>
    <definedName name="AE00281_" localSheetId="1">'[17]TB WORLI'!#REF!</definedName>
    <definedName name="AE00281_" localSheetId="15">'[17]TB WORLI'!#REF!</definedName>
    <definedName name="AE00281_" localSheetId="9">'[17]TB WORLI'!#REF!</definedName>
    <definedName name="AE00281_" localSheetId="0">'[17]TB WORLI'!#REF!</definedName>
    <definedName name="AE00281_">'[17]TB WORLI'!#REF!</definedName>
    <definedName name="AE00289_" localSheetId="1">'[17]TB WORLI'!#REF!</definedName>
    <definedName name="AE00289_" localSheetId="15">'[17]TB WORLI'!#REF!</definedName>
    <definedName name="AE00289_" localSheetId="9">'[17]TB WORLI'!#REF!</definedName>
    <definedName name="AE00289_" localSheetId="0">'[17]TB WORLI'!#REF!</definedName>
    <definedName name="AE00289_">'[17]TB WORLI'!#REF!</definedName>
    <definedName name="AE0159_" localSheetId="1">'[17]TB WORLI'!#REF!</definedName>
    <definedName name="AE0159_" localSheetId="15">'[17]TB WORLI'!#REF!</definedName>
    <definedName name="AE0159_" localSheetId="0">'[17]TB WORLI'!#REF!</definedName>
    <definedName name="AE0159_">'[17]TB WORLI'!#REF!</definedName>
    <definedName name="AE0160_" localSheetId="1">'[17]TB WORLI'!#REF!</definedName>
    <definedName name="AE0160_" localSheetId="15">'[17]TB WORLI'!#REF!</definedName>
    <definedName name="AE0160_" localSheetId="0">'[17]TB WORLI'!#REF!</definedName>
    <definedName name="AE0160_">'[17]TB WORLI'!#REF!</definedName>
    <definedName name="AE0211_" localSheetId="1">'[17]TB WORLI'!#REF!</definedName>
    <definedName name="AE0211_" localSheetId="15">'[17]TB WORLI'!#REF!</definedName>
    <definedName name="AE0211_" localSheetId="0">'[17]TB WORLI'!#REF!</definedName>
    <definedName name="AE0211_">'[17]TB WORLI'!#REF!</definedName>
    <definedName name="AE0219_" localSheetId="1">'[17]TB WORLI'!#REF!</definedName>
    <definedName name="AE0219_" localSheetId="15">'[17]TB WORLI'!#REF!</definedName>
    <definedName name="AE0219_" localSheetId="0">'[17]TB WORLI'!#REF!</definedName>
    <definedName name="AE0219_">'[17]TB WORLI'!#REF!</definedName>
    <definedName name="AE0225_" localSheetId="1">'[17]TB WORLI'!#REF!</definedName>
    <definedName name="AE0225_" localSheetId="15">'[17]TB WORLI'!#REF!</definedName>
    <definedName name="AE0225_" localSheetId="0">'[17]TB WORLI'!#REF!</definedName>
    <definedName name="AE0225_">'[17]TB WORLI'!#REF!</definedName>
    <definedName name="AE0232_" localSheetId="1">'[17]TB WORLI'!#REF!</definedName>
    <definedName name="AE0232_" localSheetId="15">'[17]TB WORLI'!#REF!</definedName>
    <definedName name="AE0232_" localSheetId="0">'[17]TB WORLI'!#REF!</definedName>
    <definedName name="AE0232_">'[17]TB WORLI'!#REF!</definedName>
    <definedName name="AE0243_" localSheetId="1">'[17]TB WORLI'!#REF!</definedName>
    <definedName name="AE0243_" localSheetId="15">'[17]TB WORLI'!#REF!</definedName>
    <definedName name="AE0243_" localSheetId="0">'[17]TB WORLI'!#REF!</definedName>
    <definedName name="AE0243_">'[17]TB WORLI'!#REF!</definedName>
    <definedName name="AH" localSheetId="33">#REF!</definedName>
    <definedName name="AH" localSheetId="1">#REF!</definedName>
    <definedName name="AH" localSheetId="19">#REF!</definedName>
    <definedName name="AH" localSheetId="15">#REF!</definedName>
    <definedName name="AH" localSheetId="34">#REF!</definedName>
    <definedName name="AH" localSheetId="32">#REF!</definedName>
    <definedName name="AH" localSheetId="35">#REF!</definedName>
    <definedName name="AH" localSheetId="0">#REF!</definedName>
    <definedName name="AH" localSheetId="13">#REF!</definedName>
    <definedName name="AH">#REF!</definedName>
    <definedName name="AI00296_" localSheetId="1">'[17]TB WORLI'!#REF!</definedName>
    <definedName name="AI00296_" localSheetId="15">'[17]TB WORLI'!#REF!</definedName>
    <definedName name="AI00296_" localSheetId="34">'[17]TB WORLI'!#REF!</definedName>
    <definedName name="AI00296_" localSheetId="0">'[17]TB WORLI'!#REF!</definedName>
    <definedName name="AI00296_">'[17]TB WORLI'!#REF!</definedName>
    <definedName name="AI00298_" localSheetId="1">'[17]TB WORLI'!#REF!</definedName>
    <definedName name="AI00298_" localSheetId="15">'[17]TB WORLI'!#REF!</definedName>
    <definedName name="AI00298_" localSheetId="34">'[17]TB WORLI'!#REF!</definedName>
    <definedName name="AI00298_" localSheetId="0">'[17]TB WORLI'!#REF!</definedName>
    <definedName name="AI00298_">'[17]TB WORLI'!#REF!</definedName>
    <definedName name="AI00319_" localSheetId="1">'[17]TB WORLI'!#REF!</definedName>
    <definedName name="AI00319_" localSheetId="15">'[17]TB WORLI'!#REF!</definedName>
    <definedName name="AI00319_" localSheetId="34">'[17]TB WORLI'!#REF!</definedName>
    <definedName name="AI00319_" localSheetId="0">'[17]TB WORLI'!#REF!</definedName>
    <definedName name="AI00319_">'[17]TB WORLI'!#REF!</definedName>
    <definedName name="AI00320_" localSheetId="1">'[17]TB WORLI'!#REF!</definedName>
    <definedName name="AI00320_" localSheetId="15">'[17]TB WORLI'!#REF!</definedName>
    <definedName name="AI00320_" localSheetId="34">'[17]TB WORLI'!#REF!</definedName>
    <definedName name="AI00320_" localSheetId="0">'[17]TB WORLI'!#REF!</definedName>
    <definedName name="AI00320_">'[17]TB WORLI'!#REF!</definedName>
    <definedName name="AI00321_" localSheetId="1">'[17]TB WORLI'!#REF!</definedName>
    <definedName name="AI00321_" localSheetId="15">'[17]TB WORLI'!#REF!</definedName>
    <definedName name="AI00321_" localSheetId="0">'[17]TB WORLI'!#REF!</definedName>
    <definedName name="AI00321_">'[17]TB WORLI'!#REF!</definedName>
    <definedName name="AI0256_" localSheetId="1">'[17]TB WORLI'!#REF!</definedName>
    <definedName name="AI0256_" localSheetId="15">'[17]TB WORLI'!#REF!</definedName>
    <definedName name="AI0256_" localSheetId="0">'[17]TB WORLI'!#REF!</definedName>
    <definedName name="AI0256_">'[17]TB WORLI'!#REF!</definedName>
    <definedName name="AI0286_" localSheetId="1">'[17]TB WORLI'!#REF!</definedName>
    <definedName name="AI0286_" localSheetId="15">'[17]TB WORLI'!#REF!</definedName>
    <definedName name="AI0286_" localSheetId="0">'[17]TB WORLI'!#REF!</definedName>
    <definedName name="AI0286_">'[17]TB WORLI'!#REF!</definedName>
    <definedName name="AJ" localSheetId="33">#REF!</definedName>
    <definedName name="AJ" localSheetId="1">#REF!</definedName>
    <definedName name="AJ" localSheetId="19">#REF!</definedName>
    <definedName name="AJ" localSheetId="15">#REF!</definedName>
    <definedName name="AJ" localSheetId="34">#REF!</definedName>
    <definedName name="AJ" localSheetId="32">#REF!</definedName>
    <definedName name="AJ" localSheetId="35">#REF!</definedName>
    <definedName name="AJ" localSheetId="0">#REF!</definedName>
    <definedName name="AJ" localSheetId="13">#REF!</definedName>
    <definedName name="AJ">#REF!</definedName>
    <definedName name="AL00382_" localSheetId="1">'[17]TB WORLI'!#REF!</definedName>
    <definedName name="AL00382_" localSheetId="15">'[17]TB WORLI'!#REF!</definedName>
    <definedName name="AL00382_" localSheetId="34">'[17]TB WORLI'!#REF!</definedName>
    <definedName name="AL00382_" localSheetId="0">'[17]TB WORLI'!#REF!</definedName>
    <definedName name="AL00382_">'[17]TB WORLI'!#REF!</definedName>
    <definedName name="AL00623_" localSheetId="1">'[17]TB WORLI'!#REF!</definedName>
    <definedName name="AL00623_" localSheetId="15">'[17]TB WORLI'!#REF!</definedName>
    <definedName name="AL00623_" localSheetId="34">'[17]TB WORLI'!#REF!</definedName>
    <definedName name="AL00623_" localSheetId="0">'[17]TB WORLI'!#REF!</definedName>
    <definedName name="AL00623_">'[17]TB WORLI'!#REF!</definedName>
    <definedName name="AL00655_" localSheetId="1">'[17]TB WORLI'!#REF!</definedName>
    <definedName name="AL00655_" localSheetId="15">'[17]TB WORLI'!#REF!</definedName>
    <definedName name="AL00655_" localSheetId="34">'[17]TB WORLI'!#REF!</definedName>
    <definedName name="AL00655_" localSheetId="0">'[17]TB WORLI'!#REF!</definedName>
    <definedName name="AL00655_">'[17]TB WORLI'!#REF!</definedName>
    <definedName name="AL00664_" localSheetId="1">'[17]TB WORLI'!#REF!</definedName>
    <definedName name="AL00664_" localSheetId="15">'[17]TB WORLI'!#REF!</definedName>
    <definedName name="AL00664_" localSheetId="34">'[17]TB WORLI'!#REF!</definedName>
    <definedName name="AL00664_" localSheetId="0">'[17]TB WORLI'!#REF!</definedName>
    <definedName name="AL00664_">'[17]TB WORLI'!#REF!</definedName>
    <definedName name="AL0333_" localSheetId="1">'[17]TB WORLI'!#REF!</definedName>
    <definedName name="AL0333_" localSheetId="15">'[17]TB WORLI'!#REF!</definedName>
    <definedName name="AL0333_" localSheetId="0">'[17]TB WORLI'!#REF!</definedName>
    <definedName name="AL0333_">'[17]TB WORLI'!#REF!</definedName>
    <definedName name="AL0342_" localSheetId="1">'[17]TB WORLI'!#REF!</definedName>
    <definedName name="AL0342_" localSheetId="15">'[17]TB WORLI'!#REF!</definedName>
    <definedName name="AL0342_" localSheetId="0">'[17]TB WORLI'!#REF!</definedName>
    <definedName name="AL0342_">'[17]TB WORLI'!#REF!</definedName>
    <definedName name="AL0355_" localSheetId="1">'[17]TB WORLI'!#REF!</definedName>
    <definedName name="AL0355_" localSheetId="15">'[17]TB WORLI'!#REF!</definedName>
    <definedName name="AL0355_" localSheetId="0">'[17]TB WORLI'!#REF!</definedName>
    <definedName name="AL0355_">'[17]TB WORLI'!#REF!</definedName>
    <definedName name="anan" localSheetId="33">IF('Advance to Supplier'!Loan_Amount*'Advance to Supplier'!Interest_Rate*'Advance to Supplier'!Loan_Years*'Advance to Supplier'!Loan_Start&gt;0,1,0)</definedName>
    <definedName name="anan" localSheetId="19">IF('Debtor''s Ageing'!Loan_Amount*'Debtor''s Ageing'!Interest_Rate*'Debtor''s Ageing'!Loan_Years*'Debtor''s Ageing'!Loan_Start&gt;0,1,0)</definedName>
    <definedName name="anan" localSheetId="34">#N/A</definedName>
    <definedName name="anan" localSheetId="32">IF('Loans to staff'!Loan_Amount*'Loans to staff'!Interest_Rate*'Loans to staff'!Loan_Years*'Loans to staff'!Loan_Start&gt;0,1,0)</definedName>
    <definedName name="anan" localSheetId="35">IF('MSME 22-23'!Loan_Amount*'MSME 22-23'!Interest_Rate*'MSME 22-23'!Loan_Years*'MSME 22-23'!Loan_Start&gt;0,1,0)</definedName>
    <definedName name="anan" localSheetId="13">IF('Related Parties'!Loan_Amount*'Related Parties'!Interest_Rate*'Related Parties'!Loan_Years*'Related Parties'!Loan_Start&gt;0,1,0)</definedName>
    <definedName name="anan">#N/A</definedName>
    <definedName name="ANANT" localSheetId="1">#REF!</definedName>
    <definedName name="ANANT" localSheetId="15">#REF!</definedName>
    <definedName name="ANANT" localSheetId="34">#REF!</definedName>
    <definedName name="ANANT" localSheetId="0">#REF!</definedName>
    <definedName name="ANANT">#REF!</definedName>
    <definedName name="ANDAMAN_AND_NICOBAR_ISLANDS" localSheetId="33">#REF!</definedName>
    <definedName name="ANDAMAN_AND_NICOBAR_ISLANDS" localSheetId="1">#REF!</definedName>
    <definedName name="ANDAMAN_AND_NICOBAR_ISLANDS" localSheetId="19">#REF!</definedName>
    <definedName name="ANDAMAN_AND_NICOBAR_ISLANDS" localSheetId="15">#REF!</definedName>
    <definedName name="ANDAMAN_AND_NICOBAR_ISLANDS" localSheetId="34">#REF!</definedName>
    <definedName name="ANDAMAN_AND_NICOBAR_ISLANDS" localSheetId="32">#REF!</definedName>
    <definedName name="ANDAMAN_AND_NICOBAR_ISLANDS" localSheetId="35">#REF!</definedName>
    <definedName name="ANDAMAN_AND_NICOBAR_ISLANDS" localSheetId="0">#REF!</definedName>
    <definedName name="ANDAMAN_AND_NICOBAR_ISLANDS" localSheetId="13">#REF!</definedName>
    <definedName name="ANDAMAN_AND_NICOBAR_ISLANDS">#REF!</definedName>
    <definedName name="Annexure" localSheetId="1">#REF!</definedName>
    <definedName name="Annexure" localSheetId="15">#REF!</definedName>
    <definedName name="Annexure" localSheetId="0">#REF!</definedName>
    <definedName name="Annexure">#REF!</definedName>
    <definedName name="annexureChallanSrno" localSheetId="33">'[20]Annexure-I'!$A$11:$A$105</definedName>
    <definedName name="annexureChallanSrno" localSheetId="19">'[20]Annexure-I'!$A$11:$A$105</definedName>
    <definedName name="annexureChallanSrno" localSheetId="32">'[21]Annexure-I'!$A$11:$A$105</definedName>
    <definedName name="annexureChallanSrno" localSheetId="35">'[21]Annexure-I'!$A$11:$A$105</definedName>
    <definedName name="annexureChallanSrno" localSheetId="13">'[20]Annexure-I'!$A$11:$A$105</definedName>
    <definedName name="annexureChallanSrno">'[22]Annexure-I'!$A$11:$A$105</definedName>
    <definedName name="annexureTDS" localSheetId="33">'[20]Annexure-I'!$R$11:$R$105</definedName>
    <definedName name="annexureTDS" localSheetId="19">'[20]Annexure-I'!$R$11:$R$105</definedName>
    <definedName name="annexureTDS" localSheetId="32">'[21]Annexure-I'!$R$11:$R$105</definedName>
    <definedName name="annexureTDS" localSheetId="35">'[21]Annexure-I'!$R$11:$R$105</definedName>
    <definedName name="annexureTDS" localSheetId="13">'[20]Annexure-I'!$R$11:$R$105</definedName>
    <definedName name="annexureTDS">'[22]Annexure-I'!$R$11:$R$105</definedName>
    <definedName name="annexureTotalDeposit" localSheetId="33">'[20]Annexure-I'!$W$11:$W$105</definedName>
    <definedName name="annexureTotalDeposit" localSheetId="19">'[20]Annexure-I'!$W$11:$W$105</definedName>
    <definedName name="annexureTotalDeposit" localSheetId="32">'[21]Annexure-I'!$W$11:$W$105</definedName>
    <definedName name="annexureTotalDeposit" localSheetId="35">'[21]Annexure-I'!$W$11:$W$105</definedName>
    <definedName name="annexureTotalDeposit" localSheetId="13">'[20]Annexure-I'!$W$11:$W$105</definedName>
    <definedName name="annexureTotalDeposit">'[22]Annexure-I'!$W$11:$W$105</definedName>
    <definedName name="AnnualLowerEarningsLimit">3484</definedName>
    <definedName name="AnnualPrimaryThreshold">4628</definedName>
    <definedName name="AnnualSecondaryThreshold">4615</definedName>
    <definedName name="AnnualUpperEarningsLimit">30940</definedName>
    <definedName name="anscount" hidden="1">1</definedName>
    <definedName name="AR" localSheetId="33">#REF!</definedName>
    <definedName name="AR" localSheetId="1">#REF!</definedName>
    <definedName name="AR" localSheetId="19">#REF!</definedName>
    <definedName name="AR" localSheetId="15">#REF!</definedName>
    <definedName name="AR" localSheetId="34">#REF!</definedName>
    <definedName name="AR" localSheetId="32">#REF!</definedName>
    <definedName name="AR" localSheetId="35">#REF!</definedName>
    <definedName name="AR" localSheetId="0">#REF!</definedName>
    <definedName name="AR" localSheetId="13">#REF!</definedName>
    <definedName name="AR">#REF!</definedName>
    <definedName name="archana">[23]Summary!$A$65:$A$66</definedName>
    <definedName name="architect" localSheetId="33">#REF!</definedName>
    <definedName name="architect" localSheetId="1">#REF!</definedName>
    <definedName name="architect" localSheetId="19">#REF!</definedName>
    <definedName name="architect" localSheetId="15">#REF!</definedName>
    <definedName name="architect" localSheetId="34">#REF!</definedName>
    <definedName name="architect" localSheetId="32">#REF!</definedName>
    <definedName name="architect" localSheetId="35">#REF!</definedName>
    <definedName name="architect" localSheetId="0">#REF!</definedName>
    <definedName name="architect" localSheetId="13">#REF!</definedName>
    <definedName name="architect">#REF!</definedName>
    <definedName name="as" localSheetId="33">#REF!</definedName>
    <definedName name="as" localSheetId="1">#REF!</definedName>
    <definedName name="as" localSheetId="19">#REF!</definedName>
    <definedName name="as" localSheetId="15">#REF!</definedName>
    <definedName name="as" localSheetId="34">#REF!</definedName>
    <definedName name="as" localSheetId="32">#REF!</definedName>
    <definedName name="as" localSheetId="35">#REF!</definedName>
    <definedName name="as" localSheetId="0">#REF!</definedName>
    <definedName name="as" localSheetId="13">#REF!</definedName>
    <definedName name="as">#REF!</definedName>
    <definedName name="AS2DocOpenMode" hidden="1">"AS2DocumentEdit"</definedName>
    <definedName name="ashish" localSheetId="33">#REF!</definedName>
    <definedName name="ashish" localSheetId="1">#REF!</definedName>
    <definedName name="ashish" localSheetId="19">#REF!</definedName>
    <definedName name="ashish" localSheetId="15">#REF!</definedName>
    <definedName name="ashish" localSheetId="34">#REF!</definedName>
    <definedName name="ashish" localSheetId="32">#REF!</definedName>
    <definedName name="ashish" localSheetId="35">#REF!</definedName>
    <definedName name="ashish" localSheetId="0">#REF!</definedName>
    <definedName name="ashish" localSheetId="13">#REF!</definedName>
    <definedName name="ashish">#REF!</definedName>
    <definedName name="ASIA_PLASTIC_in_KUSD" localSheetId="1">#REF!</definedName>
    <definedName name="ASIA_PLASTIC_in_KUSD" localSheetId="15">#REF!</definedName>
    <definedName name="ASIA_PLASTIC_in_KUSD" localSheetId="0">#REF!</definedName>
    <definedName name="ASIA_PLASTIC_in_KUSD">#REF!</definedName>
    <definedName name="ASS" localSheetId="33">#REF!</definedName>
    <definedName name="ASS" localSheetId="1">#REF!</definedName>
    <definedName name="ASS" localSheetId="19">#REF!</definedName>
    <definedName name="ASS" localSheetId="15">#REF!</definedName>
    <definedName name="ASS" localSheetId="34">#REF!</definedName>
    <definedName name="ASS" localSheetId="32">#REF!</definedName>
    <definedName name="ASS" localSheetId="35">#REF!</definedName>
    <definedName name="ASS" localSheetId="0">#REF!</definedName>
    <definedName name="ASS" localSheetId="13">#REF!</definedName>
    <definedName name="ASS">#REF!</definedName>
    <definedName name="assetfull_4" localSheetId="33">#REF!</definedName>
    <definedName name="assetfull_4" localSheetId="1">#REF!</definedName>
    <definedName name="assetfull_4" localSheetId="19">#REF!</definedName>
    <definedName name="assetfull_4" localSheetId="15">#REF!</definedName>
    <definedName name="assetfull_4" localSheetId="34">#REF!</definedName>
    <definedName name="assetfull_4" localSheetId="32">#REF!</definedName>
    <definedName name="assetfull_4" localSheetId="35">#REF!</definedName>
    <definedName name="assetfull_4" localSheetId="0">#REF!</definedName>
    <definedName name="assetfull_4" localSheetId="13">#REF!</definedName>
    <definedName name="assetfull_4">#REF!</definedName>
    <definedName name="assetfull_5" localSheetId="33">#REF!</definedName>
    <definedName name="assetfull_5" localSheetId="1">#REF!</definedName>
    <definedName name="assetfull_5" localSheetId="19">#REF!</definedName>
    <definedName name="assetfull_5" localSheetId="15">#REF!</definedName>
    <definedName name="assetfull_5" localSheetId="34">#REF!</definedName>
    <definedName name="assetfull_5" localSheetId="32">#REF!</definedName>
    <definedName name="assetfull_5" localSheetId="35">#REF!</definedName>
    <definedName name="assetfull_5" localSheetId="0">#REF!</definedName>
    <definedName name="assetfull_5" localSheetId="13">#REF!</definedName>
    <definedName name="assetfull_5">#REF!</definedName>
    <definedName name="assetfull_6" localSheetId="33">#REF!</definedName>
    <definedName name="assetfull_6" localSheetId="1">#REF!</definedName>
    <definedName name="assetfull_6" localSheetId="19">#REF!</definedName>
    <definedName name="assetfull_6" localSheetId="15">#REF!</definedName>
    <definedName name="assetfull_6" localSheetId="34">#REF!</definedName>
    <definedName name="assetfull_6" localSheetId="32">#REF!</definedName>
    <definedName name="assetfull_6" localSheetId="35">#REF!</definedName>
    <definedName name="assetfull_6" localSheetId="0">#REF!</definedName>
    <definedName name="assetfull_6" localSheetId="13">#REF!</definedName>
    <definedName name="assetfull_6">#REF!</definedName>
    <definedName name="assetfull_7" localSheetId="33">#REF!</definedName>
    <definedName name="assetfull_7" localSheetId="1">#REF!</definedName>
    <definedName name="assetfull_7" localSheetId="19">#REF!</definedName>
    <definedName name="assetfull_7" localSheetId="15">#REF!</definedName>
    <definedName name="assetfull_7" localSheetId="34">#REF!</definedName>
    <definedName name="assetfull_7" localSheetId="32">#REF!</definedName>
    <definedName name="assetfull_7" localSheetId="35">#REF!</definedName>
    <definedName name="assetfull_7" localSheetId="0">#REF!</definedName>
    <definedName name="assetfull_7" localSheetId="13">#REF!</definedName>
    <definedName name="assetfull_7">#REF!</definedName>
    <definedName name="assetfull_8" localSheetId="33">#REF!</definedName>
    <definedName name="assetfull_8" localSheetId="1">#REF!</definedName>
    <definedName name="assetfull_8" localSheetId="19">#REF!</definedName>
    <definedName name="assetfull_8" localSheetId="15">#REF!</definedName>
    <definedName name="assetfull_8" localSheetId="34">#REF!</definedName>
    <definedName name="assetfull_8" localSheetId="32">#REF!</definedName>
    <definedName name="assetfull_8" localSheetId="35">#REF!</definedName>
    <definedName name="assetfull_8" localSheetId="0">#REF!</definedName>
    <definedName name="assetfull_8" localSheetId="13">#REF!</definedName>
    <definedName name="assetfull_8">#REF!</definedName>
    <definedName name="ASSETS1_4" localSheetId="33">#REF!</definedName>
    <definedName name="ASSETS1_4" localSheetId="1">#REF!</definedName>
    <definedName name="ASSETS1_4" localSheetId="19">#REF!</definedName>
    <definedName name="ASSETS1_4" localSheetId="15">#REF!</definedName>
    <definedName name="ASSETS1_4" localSheetId="34">#REF!</definedName>
    <definedName name="ASSETS1_4" localSheetId="32">#REF!</definedName>
    <definedName name="ASSETS1_4" localSheetId="35">#REF!</definedName>
    <definedName name="ASSETS1_4" localSheetId="0">#REF!</definedName>
    <definedName name="ASSETS1_4" localSheetId="13">#REF!</definedName>
    <definedName name="ASSETS1_4">#REF!</definedName>
    <definedName name="ASSETS1_5" localSheetId="33">#REF!</definedName>
    <definedName name="ASSETS1_5" localSheetId="1">#REF!</definedName>
    <definedName name="ASSETS1_5" localSheetId="19">#REF!</definedName>
    <definedName name="ASSETS1_5" localSheetId="15">#REF!</definedName>
    <definedName name="ASSETS1_5" localSheetId="34">#REF!</definedName>
    <definedName name="ASSETS1_5" localSheetId="32">#REF!</definedName>
    <definedName name="ASSETS1_5" localSheetId="35">#REF!</definedName>
    <definedName name="ASSETS1_5" localSheetId="0">#REF!</definedName>
    <definedName name="ASSETS1_5" localSheetId="13">#REF!</definedName>
    <definedName name="ASSETS1_5">#REF!</definedName>
    <definedName name="ASSETS1_6" localSheetId="33">#REF!</definedName>
    <definedName name="ASSETS1_6" localSheetId="1">#REF!</definedName>
    <definedName name="ASSETS1_6" localSheetId="19">#REF!</definedName>
    <definedName name="ASSETS1_6" localSheetId="15">#REF!</definedName>
    <definedName name="ASSETS1_6" localSheetId="34">#REF!</definedName>
    <definedName name="ASSETS1_6" localSheetId="32">#REF!</definedName>
    <definedName name="ASSETS1_6" localSheetId="35">#REF!</definedName>
    <definedName name="ASSETS1_6" localSheetId="0">#REF!</definedName>
    <definedName name="ASSETS1_6" localSheetId="13">#REF!</definedName>
    <definedName name="ASSETS1_6">#REF!</definedName>
    <definedName name="ASSETS1_7" localSheetId="33">#REF!</definedName>
    <definedName name="ASSETS1_7" localSheetId="1">#REF!</definedName>
    <definedName name="ASSETS1_7" localSheetId="19">#REF!</definedName>
    <definedName name="ASSETS1_7" localSheetId="15">#REF!</definedName>
    <definedName name="ASSETS1_7" localSheetId="34">#REF!</definedName>
    <definedName name="ASSETS1_7" localSheetId="32">#REF!</definedName>
    <definedName name="ASSETS1_7" localSheetId="35">#REF!</definedName>
    <definedName name="ASSETS1_7" localSheetId="0">#REF!</definedName>
    <definedName name="ASSETS1_7" localSheetId="13">#REF!</definedName>
    <definedName name="ASSETS1_7">#REF!</definedName>
    <definedName name="ASSETS1_8" localSheetId="33">#REF!</definedName>
    <definedName name="ASSETS1_8" localSheetId="1">#REF!</definedName>
    <definedName name="ASSETS1_8" localSheetId="19">#REF!</definedName>
    <definedName name="ASSETS1_8" localSheetId="15">#REF!</definedName>
    <definedName name="ASSETS1_8" localSheetId="34">#REF!</definedName>
    <definedName name="ASSETS1_8" localSheetId="32">#REF!</definedName>
    <definedName name="ASSETS1_8" localSheetId="35">#REF!</definedName>
    <definedName name="ASSETS1_8" localSheetId="0">#REF!</definedName>
    <definedName name="ASSETS1_8" localSheetId="13">#REF!</definedName>
    <definedName name="ASSETS1_8">#REF!</definedName>
    <definedName name="AssetType">[11]Sheet1!$C$1:$C$5</definedName>
    <definedName name="ASST2_4" localSheetId="33">#REF!</definedName>
    <definedName name="ASST2_4" localSheetId="1">#REF!</definedName>
    <definedName name="ASST2_4" localSheetId="19">#REF!</definedName>
    <definedName name="ASST2_4" localSheetId="15">#REF!</definedName>
    <definedName name="ASST2_4" localSheetId="34">#REF!</definedName>
    <definedName name="ASST2_4" localSheetId="32">#REF!</definedName>
    <definedName name="ASST2_4" localSheetId="35">#REF!</definedName>
    <definedName name="ASST2_4" localSheetId="0">#REF!</definedName>
    <definedName name="ASST2_4" localSheetId="13">#REF!</definedName>
    <definedName name="ASST2_4">#REF!</definedName>
    <definedName name="ASST2_5" localSheetId="33">#REF!</definedName>
    <definedName name="ASST2_5" localSheetId="1">#REF!</definedName>
    <definedName name="ASST2_5" localSheetId="19">#REF!</definedName>
    <definedName name="ASST2_5" localSheetId="15">#REF!</definedName>
    <definedName name="ASST2_5" localSheetId="34">#REF!</definedName>
    <definedName name="ASST2_5" localSheetId="32">#REF!</definedName>
    <definedName name="ASST2_5" localSheetId="35">#REF!</definedName>
    <definedName name="ASST2_5" localSheetId="0">#REF!</definedName>
    <definedName name="ASST2_5" localSheetId="13">#REF!</definedName>
    <definedName name="ASST2_5">#REF!</definedName>
    <definedName name="ASST2_6" localSheetId="33">#REF!</definedName>
    <definedName name="ASST2_6" localSheetId="1">#REF!</definedName>
    <definedName name="ASST2_6" localSheetId="19">#REF!</definedName>
    <definedName name="ASST2_6" localSheetId="15">#REF!</definedName>
    <definedName name="ASST2_6" localSheetId="34">#REF!</definedName>
    <definedName name="ASST2_6" localSheetId="32">#REF!</definedName>
    <definedName name="ASST2_6" localSheetId="35">#REF!</definedName>
    <definedName name="ASST2_6" localSheetId="0">#REF!</definedName>
    <definedName name="ASST2_6" localSheetId="13">#REF!</definedName>
    <definedName name="ASST2_6">#REF!</definedName>
    <definedName name="ASST2_7" localSheetId="33">#REF!</definedName>
    <definedName name="ASST2_7" localSheetId="1">#REF!</definedName>
    <definedName name="ASST2_7" localSheetId="19">#REF!</definedName>
    <definedName name="ASST2_7" localSheetId="15">#REF!</definedName>
    <definedName name="ASST2_7" localSheetId="34">#REF!</definedName>
    <definedName name="ASST2_7" localSheetId="32">#REF!</definedName>
    <definedName name="ASST2_7" localSheetId="35">#REF!</definedName>
    <definedName name="ASST2_7" localSheetId="0">#REF!</definedName>
    <definedName name="ASST2_7" localSheetId="13">#REF!</definedName>
    <definedName name="ASST2_7">#REF!</definedName>
    <definedName name="ASST2_8" localSheetId="33">#REF!</definedName>
    <definedName name="ASST2_8" localSheetId="1">#REF!</definedName>
    <definedName name="ASST2_8" localSheetId="19">#REF!</definedName>
    <definedName name="ASST2_8" localSheetId="15">#REF!</definedName>
    <definedName name="ASST2_8" localSheetId="34">#REF!</definedName>
    <definedName name="ASST2_8" localSheetId="32">#REF!</definedName>
    <definedName name="ASST2_8" localSheetId="35">#REF!</definedName>
    <definedName name="ASST2_8" localSheetId="0">#REF!</definedName>
    <definedName name="ASST2_8" localSheetId="13">#REF!</definedName>
    <definedName name="ASST2_8">#REF!</definedName>
    <definedName name="AsstYr">[24]Masters!$C$34</definedName>
    <definedName name="AudName">[25]Masters!$C$13</definedName>
    <definedName name="Avg." localSheetId="1">#REF!</definedName>
    <definedName name="Avg." localSheetId="15">#REF!</definedName>
    <definedName name="Avg." localSheetId="34">#REF!</definedName>
    <definedName name="Avg." localSheetId="0">#REF!</definedName>
    <definedName name="Avg.">#REF!</definedName>
    <definedName name="axedoc" localSheetId="1">#REF!</definedName>
    <definedName name="axedoc" localSheetId="15">#REF!</definedName>
    <definedName name="axedoc" localSheetId="34">#REF!</definedName>
    <definedName name="axedoc" localSheetId="0">#REF!</definedName>
    <definedName name="axedoc">#REF!</definedName>
    <definedName name="AY" localSheetId="33">#REF!</definedName>
    <definedName name="AY" localSheetId="1">#REF!</definedName>
    <definedName name="AY" localSheetId="19">#REF!</definedName>
    <definedName name="AY" localSheetId="15">#REF!</definedName>
    <definedName name="AY" localSheetId="34">#REF!</definedName>
    <definedName name="AY" localSheetId="32">#REF!</definedName>
    <definedName name="AY" localSheetId="35">#REF!</definedName>
    <definedName name="AY" localSheetId="0">#REF!</definedName>
    <definedName name="AY" localSheetId="13">#REF!</definedName>
    <definedName name="AY">#REF!</definedName>
    <definedName name="b" localSheetId="33">#REF!</definedName>
    <definedName name="b" localSheetId="1">#REF!</definedName>
    <definedName name="b" localSheetId="19">#REF!</definedName>
    <definedName name="b" localSheetId="15">#REF!</definedName>
    <definedName name="b" localSheetId="34">#REF!</definedName>
    <definedName name="b" localSheetId="32">#REF!</definedName>
    <definedName name="b" localSheetId="35">#REF!</definedName>
    <definedName name="b" localSheetId="0">#REF!</definedName>
    <definedName name="b" localSheetId="13">#REF!</definedName>
    <definedName name="b">#REF!</definedName>
    <definedName name="BA0007_">'[18]TB WORLI'!$B$5</definedName>
    <definedName name="BA0008_">'[18]TB WORLI'!$B$6</definedName>
    <definedName name="BA00169_">'[18]TB WORLI'!$B$8</definedName>
    <definedName name="BA00212_">'[17]TB WORLI'!$B$136</definedName>
    <definedName name="BA00223_">'[18]TB WORLI'!$B$10</definedName>
    <definedName name="BA00238_">'[18]TB WORLI'!$B$13</definedName>
    <definedName name="BA00270_">'[17]TB WORLI'!$B$8</definedName>
    <definedName name="BA00271_">'[18]TB WORLI'!$B$16</definedName>
    <definedName name="BA00298_">'[17]TB WORLI'!$B$139</definedName>
    <definedName name="BA00301_">'[18]TB WORLI'!$B$23</definedName>
    <definedName name="BA00302_">'[18]TB WORLI'!$B$24</definedName>
    <definedName name="BA00303_">'[18]TB WORLI'!$B$25</definedName>
    <definedName name="BA00304_">'[18]TB WORLI'!$B$26</definedName>
    <definedName name="BA00319_">'[18]TB WORLI'!$B$32</definedName>
    <definedName name="BA00338_">'[18]TB WORLI'!$B$45</definedName>
    <definedName name="BA00339_">'[18]TB WORLI'!$B$46</definedName>
    <definedName name="BA00358_">'[18]TB WORLI'!$B$47</definedName>
    <definedName name="BA00362_">'[18]TB WORLI'!$B$49</definedName>
    <definedName name="BA00371_">'[18]TB WORLI'!$B$54</definedName>
    <definedName name="BA00405_">'[17]TB WORLI'!$B$18</definedName>
    <definedName name="BA00433_">'[18]TB WORLI'!$B$78</definedName>
    <definedName name="BA00434_">'[18]TB WORLI'!$B$79</definedName>
    <definedName name="BA00437_">'[18]TB WORLI'!$B$82</definedName>
    <definedName name="BA00441_">'[18]TB WORLI'!$B$85</definedName>
    <definedName name="BA00442_">'[18]TB WORLI'!$B$86</definedName>
    <definedName name="BA00449_">'[18]TB WORLI'!$B$91</definedName>
    <definedName name="BA0045_">'[18]TB WORLI'!$B$92</definedName>
    <definedName name="BA00450_">'[17]TB WORLI'!$B$22</definedName>
    <definedName name="BA00453_">'[17]TB WORLI'!$B$23</definedName>
    <definedName name="BA0049_">'[18]TB WORLI'!$B$97</definedName>
    <definedName name="BA0051_">'[18]TB WORLI'!$B$98</definedName>
    <definedName name="BA0062_">'[18]TB WORLI'!$B$100</definedName>
    <definedName name="BA0064_">'[18]TB WORLI'!$B$101</definedName>
    <definedName name="BA0072_">'[18]TB WORLI'!$B$103</definedName>
    <definedName name="BA0141_">'[18]TB WORLI'!$B$105</definedName>
    <definedName name="bal">'[2]BS 590'!$B$1:$H$65</definedName>
    <definedName name="balancesheet">[26]working!$A$378:$C$532</definedName>
    <definedName name="BalTest_Abbreviated.balance.sheet.foot.totals">[27]AbbBS!$E$31,[27]AbbBS!$E$40</definedName>
    <definedName name="BalTest_Abbreviated.balance.sheet.foot.totals.Comparatives" localSheetId="33">[28]AbbBS!$H$31,[28]AbbBS!$H$40</definedName>
    <definedName name="BalTest_Abbreviated.balance.sheet.foot.totals.Comparatives" localSheetId="19">[28]AbbBS!$H$31,[28]AbbBS!$H$40</definedName>
    <definedName name="BalTest_Abbreviated.balance.sheet.foot.totals.Comparatives" localSheetId="32">[29]AbbBS!$H$31,[29]AbbBS!$H$40</definedName>
    <definedName name="BalTest_Abbreviated.balance.sheet.foot.totals.Comparatives" localSheetId="35">[29]AbbBS!$H$31,[29]AbbBS!$H$40</definedName>
    <definedName name="BalTest_Abbreviated.balance.sheet.foot.totals.Comparatives" localSheetId="13">[28]AbbBS!$H$31,[28]AbbBS!$H$40</definedName>
    <definedName name="BalTest_Abbreviated.balance.sheet.foot.totals.Comparatives">[30]AbbBS!$H$31,[30]AbbBS!$H$40</definedName>
    <definedName name="BalTest_Balance.sheet.foot.totals" localSheetId="33">[28]BS!$E$31,[28]BS!$E$40</definedName>
    <definedName name="BalTest_Balance.sheet.foot.totals" localSheetId="19">[28]BS!$E$31,[28]BS!$E$40</definedName>
    <definedName name="BalTest_Balance.sheet.foot.totals" localSheetId="32">[29]BS!$E$31,[29]BS!$E$40</definedName>
    <definedName name="BalTest_Balance.sheet.foot.totals" localSheetId="35">[29]BS!$E$31,[29]BS!$E$40</definedName>
    <definedName name="BalTest_Balance.sheet.foot.totals" localSheetId="13">[28]BS!$E$31,[28]BS!$E$40</definedName>
    <definedName name="BalTest_Balance.sheet.foot.totals">[30]BS!$E$31,[30]BS!$E$40</definedName>
    <definedName name="BalTest_Balance.sheet.foot.totals.Comparatives" localSheetId="33">[28]BS!$H$31,[28]BS!$H$40</definedName>
    <definedName name="BalTest_Balance.sheet.foot.totals.Comparatives" localSheetId="19">[28]BS!$H$31,[28]BS!$H$40</definedName>
    <definedName name="BalTest_Balance.sheet.foot.totals.Comparatives" localSheetId="32">[29]BS!$H$31,[29]BS!$H$40</definedName>
    <definedName name="BalTest_Balance.sheet.foot.totals.Comparatives" localSheetId="35">[29]BS!$H$31,[29]BS!$H$40</definedName>
    <definedName name="BalTest_Balance.sheet.foot.totals.Comparatives" localSheetId="13">[28]BS!$H$31,[28]BS!$H$40</definedName>
    <definedName name="BalTest_Balance.sheet.foot.totals.Comparatives">[30]BS!$H$31,[30]BS!$H$40</definedName>
    <definedName name="BalTest_Capital.redemption.reserve.brought.forward.IfVisible" localSheetId="33">[28]Notes!$I$277,[28]Notes!$G$274</definedName>
    <definedName name="BalTest_Capital.redemption.reserve.brought.forward.IfVisible" localSheetId="19">[28]Notes!$I$277,[28]Notes!$G$274</definedName>
    <definedName name="BalTest_Capital.redemption.reserve.brought.forward.IfVisible" localSheetId="32">[29]Notes!$I$277,[29]Notes!$G$274</definedName>
    <definedName name="BalTest_Capital.redemption.reserve.brought.forward.IfVisible" localSheetId="35">[29]Notes!$I$277,[29]Notes!$G$274</definedName>
    <definedName name="BalTest_Capital.redemption.reserve.brought.forward.IfVisible" localSheetId="13">[28]Notes!$I$277,[28]Notes!$G$274</definedName>
    <definedName name="BalTest_Capital.redemption.reserve.brought.forward.IfVisible">[30]Notes!$I$277,[30]Notes!$G$274</definedName>
    <definedName name="BalTest_Cash.flow.foot.totals" localSheetId="33">[28]CF!$E$40,[28]CF!$E$46</definedName>
    <definedName name="BalTest_Cash.flow.foot.totals" localSheetId="19">[28]CF!$E$40,[28]CF!$E$46</definedName>
    <definedName name="BalTest_Cash.flow.foot.totals" localSheetId="32">[29]CF!$E$40,[29]CF!$E$46</definedName>
    <definedName name="BalTest_Cash.flow.foot.totals" localSheetId="35">[29]CF!$E$40,[29]CF!$E$46</definedName>
    <definedName name="BalTest_Cash.flow.foot.totals" localSheetId="13">[28]CF!$E$40,[28]CF!$E$46</definedName>
    <definedName name="BalTest_Cash.flow.foot.totals">[30]CF!$E$40,[30]CF!$E$46</definedName>
    <definedName name="BalTest_Cash.flow.foot.totals.Comparatives" localSheetId="33">[28]CF!$G$40,[28]CF!$G$46</definedName>
    <definedName name="BalTest_Cash.flow.foot.totals.Comparatives" localSheetId="19">[28]CF!$G$40,[28]CF!$G$46</definedName>
    <definedName name="BalTest_Cash.flow.foot.totals.Comparatives" localSheetId="32">[29]CF!$G$40,[29]CF!$G$46</definedName>
    <definedName name="BalTest_Cash.flow.foot.totals.Comparatives" localSheetId="35">[29]CF!$G$40,[29]CF!$G$46</definedName>
    <definedName name="BalTest_Cash.flow.foot.totals.Comparatives" localSheetId="13">[28]CF!$G$40,[28]CF!$G$46</definedName>
    <definedName name="BalTest_Cash.flow.foot.totals.Comparatives">[30]CF!$G$40,[30]CF!$G$46</definedName>
    <definedName name="BalTest_Deferred.tax.brought.forward.IfVisible" localSheetId="33">[28]Notes!$G$226,[28]Notes!$I$229</definedName>
    <definedName name="BalTest_Deferred.tax.brought.forward.IfVisible" localSheetId="19">[28]Notes!$G$226,[28]Notes!$I$229</definedName>
    <definedName name="BalTest_Deferred.tax.brought.forward.IfVisible" localSheetId="32">[29]Notes!$G$226,[29]Notes!$I$229</definedName>
    <definedName name="BalTest_Deferred.tax.brought.forward.IfVisible" localSheetId="35">[29]Notes!$G$226,[29]Notes!$I$229</definedName>
    <definedName name="BalTest_Deferred.tax.brought.forward.IfVisible" localSheetId="13">[28]Notes!$G$226,[28]Notes!$I$229</definedName>
    <definedName name="BalTest_Deferred.tax.brought.forward.IfVisible">[30]Notes!$G$226,[30]Notes!$I$229</definedName>
    <definedName name="BalTest_Fixed.assets.brought.forward.IfVisible" localSheetId="33">[28]Workings!$H$47,[28]Workings!$H$67</definedName>
    <definedName name="BalTest_Fixed.assets.brought.forward.IfVisible" localSheetId="19">[28]Workings!$H$47,[28]Workings!$H$67</definedName>
    <definedName name="BalTest_Fixed.assets.brought.forward.IfVisible" localSheetId="32">[29]Workings!$H$47,[29]Workings!$H$67</definedName>
    <definedName name="BalTest_Fixed.assets.brought.forward.IfVisible" localSheetId="35">[29]Workings!$H$47,[29]Workings!$H$67</definedName>
    <definedName name="BalTest_Fixed.assets.brought.forward.IfVisible" localSheetId="13">[28]Workings!$H$47,[28]Workings!$H$67</definedName>
    <definedName name="BalTest_Fixed.assets.brought.forward.IfVisible">[30]Workings!$H$47,[30]Workings!$H$67</definedName>
    <definedName name="BalTest_Intangible.fixed.assets.brought.forward.IfVisible" localSheetId="33">[28]Workings!$F$21,[28]Workings!$F$23</definedName>
    <definedName name="BalTest_Intangible.fixed.assets.brought.forward.IfVisible" localSheetId="19">[28]Workings!$F$21,[28]Workings!$F$23</definedName>
    <definedName name="BalTest_Intangible.fixed.assets.brought.forward.IfVisible" localSheetId="32">[29]Workings!$F$21,[29]Workings!$F$23</definedName>
    <definedName name="BalTest_Intangible.fixed.assets.brought.forward.IfVisible" localSheetId="35">[29]Workings!$F$21,[29]Workings!$F$23</definedName>
    <definedName name="BalTest_Intangible.fixed.assets.brought.forward.IfVisible" localSheetId="13">[28]Workings!$F$21,[28]Workings!$F$23</definedName>
    <definedName name="BalTest_Intangible.fixed.assets.brought.forward.IfVisible">[30]Workings!$F$21,[30]Workings!$F$23</definedName>
    <definedName name="BalTest_Investments.brought.forward.IfVisible" localSheetId="33">[28]Workings!$H$78,[28]Workings!$H$95</definedName>
    <definedName name="BalTest_Investments.brought.forward.IfVisible" localSheetId="19">[28]Workings!$H$78,[28]Workings!$H$95</definedName>
    <definedName name="BalTest_Investments.brought.forward.IfVisible" localSheetId="32">[29]Workings!$H$78,[29]Workings!$H$95</definedName>
    <definedName name="BalTest_Investments.brought.forward.IfVisible" localSheetId="35">[29]Workings!$H$78,[29]Workings!$H$95</definedName>
    <definedName name="BalTest_Investments.brought.forward.IfVisible" localSheetId="13">[28]Workings!$H$78,[28]Workings!$H$95</definedName>
    <definedName name="BalTest_Investments.brought.forward.IfVisible">[30]Workings!$H$78,[30]Workings!$H$95</definedName>
    <definedName name="BalTest_PL.compared.with.DetailPL" localSheetId="33">[28]PL!$G$32,[28]DetailPL1!$C$26</definedName>
    <definedName name="BalTest_PL.compared.with.DetailPL" localSheetId="19">[28]PL!$G$32,[28]DetailPL1!$C$26</definedName>
    <definedName name="BalTest_PL.compared.with.DetailPL" localSheetId="32">[29]PL!$G$32,[29]DetailPL1!$C$26</definedName>
    <definedName name="BalTest_PL.compared.with.DetailPL" localSheetId="35">[29]PL!$G$32,[29]DetailPL1!$C$26</definedName>
    <definedName name="BalTest_PL.compared.with.DetailPL" localSheetId="13">[28]PL!$G$32,[28]DetailPL1!$C$26</definedName>
    <definedName name="BalTest_PL.compared.with.DetailPL">[30]PL!$G$32,[30]DetailPL1!$C$26</definedName>
    <definedName name="BalTest_PL.compared.with.DetailPL.Comparatives" localSheetId="33">[28]PL!$I$32,[28]DetailPL1!$E$26</definedName>
    <definedName name="BalTest_PL.compared.with.DetailPL.Comparatives" localSheetId="19">[28]PL!$I$32,[28]DetailPL1!$E$26</definedName>
    <definedName name="BalTest_PL.compared.with.DetailPL.Comparatives" localSheetId="32">[29]PL!$I$32,[29]DetailPL1!$E$26</definedName>
    <definedName name="BalTest_PL.compared.with.DetailPL.Comparatives" localSheetId="35">[29]PL!$I$32,[29]DetailPL1!$E$26</definedName>
    <definedName name="BalTest_PL.compared.with.DetailPL.Comparatives" localSheetId="13">[28]PL!$I$32,[28]DetailPL1!$E$26</definedName>
    <definedName name="BalTest_PL.compared.with.DetailPL.Comparatives">[30]PL!$I$32,[30]DetailPL1!$E$26</definedName>
    <definedName name="BalTest_Profit.and.loss.account.brought.forward.IfVisible" localSheetId="33">[28]Notes!$I$288,[28]Notes!$G$283</definedName>
    <definedName name="BalTest_Profit.and.loss.account.brought.forward.IfVisible" localSheetId="19">[28]Notes!$I$288,[28]Notes!$G$283</definedName>
    <definedName name="BalTest_Profit.and.loss.account.brought.forward.IfVisible" localSheetId="32">[29]Notes!$I$288,[29]Notes!$G$283</definedName>
    <definedName name="BalTest_Profit.and.loss.account.brought.forward.IfVisible" localSheetId="35">[29]Notes!$I$288,[29]Notes!$G$283</definedName>
    <definedName name="BalTest_Profit.and.loss.account.brought.forward.IfVisible" localSheetId="13">[28]Notes!$I$288,[28]Notes!$G$283</definedName>
    <definedName name="BalTest_Profit.and.loss.account.brought.forward.IfVisible">[30]Notes!$I$288,[30]Notes!$G$283</definedName>
    <definedName name="BalTest_Revaluation.reserve.brought.forward.IfVisible" localSheetId="33">[28]Notes!$I$268,[28]Notes!$G$265</definedName>
    <definedName name="BalTest_Revaluation.reserve.brought.forward.IfVisible" localSheetId="19">[28]Notes!$I$268,[28]Notes!$G$265</definedName>
    <definedName name="BalTest_Revaluation.reserve.brought.forward.IfVisible" localSheetId="32">[29]Notes!$I$268,[29]Notes!$G$265</definedName>
    <definedName name="BalTest_Revaluation.reserve.brought.forward.IfVisible" localSheetId="35">[29]Notes!$I$268,[29]Notes!$G$265</definedName>
    <definedName name="BalTest_Revaluation.reserve.brought.forward.IfVisible" localSheetId="13">[28]Notes!$I$268,[28]Notes!$G$265</definedName>
    <definedName name="BalTest_Revaluation.reserve.brought.forward.IfVisible">[30]Notes!$I$268,[30]Notes!$G$265</definedName>
    <definedName name="BalTest_Share.capital.brought.forward.IfVisible" localSheetId="33">[27]Notes!#REF!,[27]Notes!#REF!</definedName>
    <definedName name="BalTest_Share.capital.brought.forward.IfVisible" localSheetId="1">[27]Notes!#REF!,[27]Notes!#REF!</definedName>
    <definedName name="BalTest_Share.capital.brought.forward.IfVisible" localSheetId="19">[27]Notes!#REF!,[27]Notes!#REF!</definedName>
    <definedName name="BalTest_Share.capital.brought.forward.IfVisible" localSheetId="15">[27]Notes!#REF!,[27]Notes!#REF!</definedName>
    <definedName name="BalTest_Share.capital.brought.forward.IfVisible" localSheetId="34">[27]Notes!#REF!,[27]Notes!#REF!</definedName>
    <definedName name="BalTest_Share.capital.brought.forward.IfVisible" localSheetId="32">[27]Notes!#REF!,[27]Notes!#REF!</definedName>
    <definedName name="BalTest_Share.capital.brought.forward.IfVisible" localSheetId="35">[27]Notes!#REF!,[27]Notes!#REF!</definedName>
    <definedName name="BalTest_Share.capital.brought.forward.IfVisible" localSheetId="9">[27]Notes!#REF!,[27]Notes!#REF!</definedName>
    <definedName name="BalTest_Share.capital.brought.forward.IfVisible" localSheetId="0">[27]Notes!#REF!,[27]Notes!#REF!</definedName>
    <definedName name="BalTest_Share.capital.brought.forward.IfVisible" localSheetId="13">[27]Notes!#REF!,[27]Notes!#REF!</definedName>
    <definedName name="BalTest_Share.capital.brought.forward.IfVisible">[27]Notes!#REF!,[27]Notes!#REF!</definedName>
    <definedName name="BalTest_Share.premium.brought.forward.IfVisible" localSheetId="33">[28]Notes!$I$259,[28]Notes!$G$255</definedName>
    <definedName name="BalTest_Share.premium.brought.forward.IfVisible" localSheetId="19">[28]Notes!$I$259,[28]Notes!$G$255</definedName>
    <definedName name="BalTest_Share.premium.brought.forward.IfVisible" localSheetId="32">[29]Notes!$I$259,[29]Notes!$G$255</definedName>
    <definedName name="BalTest_Share.premium.brought.forward.IfVisible" localSheetId="35">[29]Notes!$I$259,[29]Notes!$G$255</definedName>
    <definedName name="BalTest_Share.premium.brought.forward.IfVisible" localSheetId="13">[28]Notes!$I$259,[28]Notes!$G$255</definedName>
    <definedName name="BalTest_Share.premium.brought.forward.IfVisible">[30]Notes!$I$259,[30]Notes!$G$255</definedName>
    <definedName name="BasicRate">0.22</definedName>
    <definedName name="BasicRateThreshold">1920</definedName>
    <definedName name="Basis" localSheetId="1">#REF!</definedName>
    <definedName name="Basis" localSheetId="15">#REF!</definedName>
    <definedName name="Basis" localSheetId="9">#REF!</definedName>
    <definedName name="Basis" localSheetId="0">#REF!</definedName>
    <definedName name="Basis">#REF!</definedName>
    <definedName name="BBB" localSheetId="33">#REF!</definedName>
    <definedName name="BBB" localSheetId="1">#REF!</definedName>
    <definedName name="BBB" localSheetId="19">#REF!</definedName>
    <definedName name="BBB" localSheetId="15">#REF!</definedName>
    <definedName name="BBB" localSheetId="34">#REF!</definedName>
    <definedName name="BBB" localSheetId="32">#REF!</definedName>
    <definedName name="BBB" localSheetId="35">#REF!</definedName>
    <definedName name="BBB" localSheetId="0">#REF!</definedName>
    <definedName name="BBB" localSheetId="13">#REF!</definedName>
    <definedName name="BBB">#REF!</definedName>
    <definedName name="bbbbbb" localSheetId="33">#REF!</definedName>
    <definedName name="bbbbbb" localSheetId="1">#REF!</definedName>
    <definedName name="bbbbbb" localSheetId="19">#REF!</definedName>
    <definedName name="bbbbbb" localSheetId="15">#REF!</definedName>
    <definedName name="bbbbbb" localSheetId="34">#REF!</definedName>
    <definedName name="bbbbbb" localSheetId="32">#REF!</definedName>
    <definedName name="bbbbbb" localSheetId="35">#REF!</definedName>
    <definedName name="bbbbbb" localSheetId="0">#REF!</definedName>
    <definedName name="bbbbbb" localSheetId="13">#REF!</definedName>
    <definedName name="bbbbbb">#REF!</definedName>
    <definedName name="BE00281_">'[18]TB WORLI'!$B$109</definedName>
    <definedName name="BE00289_">'[18]TB WORLI'!$B$110</definedName>
    <definedName name="BE00306_">'[18]TB WORLI'!$B$111</definedName>
    <definedName name="BE0160_">'[18]TB WORLI'!$B$113</definedName>
    <definedName name="BE0161_">'[18]TB WORLI'!$B$114</definedName>
    <definedName name="BE0211_">'[18]TB WORLI'!$B$115</definedName>
    <definedName name="BE0219_">'[18]TB WORLI'!$B$116</definedName>
    <definedName name="BE0225_">'[17]TB WORLI'!$B$151</definedName>
    <definedName name="BE0235_">'[17]TB WORLI'!$B$33</definedName>
    <definedName name="BE0243_">'[18]TB WORLI'!$B$119</definedName>
    <definedName name="BEP_4" localSheetId="33">#REF!</definedName>
    <definedName name="BEP_4" localSheetId="1">#REF!</definedName>
    <definedName name="BEP_4" localSheetId="19">#REF!</definedName>
    <definedName name="BEP_4" localSheetId="15">#REF!</definedName>
    <definedName name="BEP_4" localSheetId="34">#REF!</definedName>
    <definedName name="BEP_4" localSheetId="32">#REF!</definedName>
    <definedName name="BEP_4" localSheetId="35">#REF!</definedName>
    <definedName name="BEP_4" localSheetId="0">#REF!</definedName>
    <definedName name="BEP_4" localSheetId="13">#REF!</definedName>
    <definedName name="BEP_4">#REF!</definedName>
    <definedName name="BEP_5" localSheetId="33">#REF!</definedName>
    <definedName name="BEP_5" localSheetId="1">#REF!</definedName>
    <definedName name="BEP_5" localSheetId="19">#REF!</definedName>
    <definedName name="BEP_5" localSheetId="15">#REF!</definedName>
    <definedName name="BEP_5" localSheetId="34">#REF!</definedName>
    <definedName name="BEP_5" localSheetId="32">#REF!</definedName>
    <definedName name="BEP_5" localSheetId="35">#REF!</definedName>
    <definedName name="BEP_5" localSheetId="0">#REF!</definedName>
    <definedName name="BEP_5" localSheetId="13">#REF!</definedName>
    <definedName name="BEP_5">#REF!</definedName>
    <definedName name="BEP_6" localSheetId="33">#REF!</definedName>
    <definedName name="BEP_6" localSheetId="1">#REF!</definedName>
    <definedName name="BEP_6" localSheetId="19">#REF!</definedName>
    <definedName name="BEP_6" localSheetId="15">#REF!</definedName>
    <definedName name="BEP_6" localSheetId="34">#REF!</definedName>
    <definedName name="BEP_6" localSheetId="32">#REF!</definedName>
    <definedName name="BEP_6" localSheetId="35">#REF!</definedName>
    <definedName name="BEP_6" localSheetId="0">#REF!</definedName>
    <definedName name="BEP_6" localSheetId="13">#REF!</definedName>
    <definedName name="BEP_6">#REF!</definedName>
    <definedName name="BEP_7" localSheetId="33">#REF!</definedName>
    <definedName name="BEP_7" localSheetId="1">#REF!</definedName>
    <definedName name="BEP_7" localSheetId="19">#REF!</definedName>
    <definedName name="BEP_7" localSheetId="15">#REF!</definedName>
    <definedName name="BEP_7" localSheetId="34">#REF!</definedName>
    <definedName name="BEP_7" localSheetId="32">#REF!</definedName>
    <definedName name="BEP_7" localSheetId="35">#REF!</definedName>
    <definedName name="BEP_7" localSheetId="0">#REF!</definedName>
    <definedName name="BEP_7" localSheetId="13">#REF!</definedName>
    <definedName name="BEP_7">#REF!</definedName>
    <definedName name="BEP_8" localSheetId="33">#REF!</definedName>
    <definedName name="BEP_8" localSheetId="1">#REF!</definedName>
    <definedName name="BEP_8" localSheetId="19">#REF!</definedName>
    <definedName name="BEP_8" localSheetId="15">#REF!</definedName>
    <definedName name="BEP_8" localSheetId="34">#REF!</definedName>
    <definedName name="BEP_8" localSheetId="32">#REF!</definedName>
    <definedName name="BEP_8" localSheetId="35">#REF!</definedName>
    <definedName name="BEP_8" localSheetId="0">#REF!</definedName>
    <definedName name="BEP_8" localSheetId="13">#REF!</definedName>
    <definedName name="BEP_8">#REF!</definedName>
    <definedName name="Bharat_diam.Brou_99" localSheetId="1">#REF!</definedName>
    <definedName name="Bharat_diam.Brou_99" localSheetId="15">#REF!</definedName>
    <definedName name="Bharat_diam.Brou_99" localSheetId="0">#REF!</definedName>
    <definedName name="Bharat_diam.Brou_99">#REF!</definedName>
    <definedName name="Bhavik" localSheetId="33">#REF!</definedName>
    <definedName name="Bhavik" localSheetId="1">#REF!</definedName>
    <definedName name="Bhavik" localSheetId="19">#REF!</definedName>
    <definedName name="Bhavik" localSheetId="15">#REF!</definedName>
    <definedName name="Bhavik" localSheetId="34">#REF!</definedName>
    <definedName name="Bhavik" localSheetId="32">#REF!</definedName>
    <definedName name="Bhavik" localSheetId="35">#REF!</definedName>
    <definedName name="Bhavik" localSheetId="0">#REF!</definedName>
    <definedName name="Bhavik" localSheetId="13">#REF!</definedName>
    <definedName name="Bhavik">#REF!</definedName>
    <definedName name="BI00296_">'[18]TB WORLI'!$B$120</definedName>
    <definedName name="BI00298_">'[18]TB WORLI'!$B$121</definedName>
    <definedName name="BI00319_">'[18]TB WORLI'!$B$122</definedName>
    <definedName name="BI00320_">'[18]TB WORLI'!$B$123</definedName>
    <definedName name="BI00321_">'[18]TB WORLI'!$B$124</definedName>
    <definedName name="BI00326_">'[18]TB WORLI'!$B$125</definedName>
    <definedName name="BI00335_">'[18]TB WORLI'!$B$126</definedName>
    <definedName name="BI0260_">'[18]TB WORLI'!$B$128</definedName>
    <definedName name="BI0261_">'[18]TB WORLI'!$B$129</definedName>
    <definedName name="BI0286_">'[18]TB WORLI'!$B$130</definedName>
    <definedName name="BL00380_">'[18]TB WORLI'!$B$131</definedName>
    <definedName name="BL00386_">'[18]TB WORLI'!$B$133</definedName>
    <definedName name="BL00649_">'[18]TB WORLI'!$B$135</definedName>
    <definedName name="BL00664_">'[18]TB WORLI'!$B$137</definedName>
    <definedName name="BL00678_">'[18]TB WORLI'!$B$138</definedName>
    <definedName name="BL00702_">'[17]TB WORLI'!$B$43</definedName>
    <definedName name="BL0302_">'[18]TB WORLI'!$B$139</definedName>
    <definedName name="BL0322_">'[18]TB WORLI'!$B$140</definedName>
    <definedName name="BL0333_">'[18]TB WORLI'!$B$141</definedName>
    <definedName name="BL0342_">'[17]TB WORLI'!$B$155</definedName>
    <definedName name="BP1_An">[31]BP1!$I$7:$I$46</definedName>
    <definedName name="BP1_Clrd">[32]BP1!$E$7:$E$46</definedName>
    <definedName name="BP1_Gr" localSheetId="33">[33]BP1!$F$7:$F$46</definedName>
    <definedName name="BP1_Gr" localSheetId="19">[33]BP1!$F$7:$F$46</definedName>
    <definedName name="BP1_Gr" localSheetId="32">[34]BP1!$F$7:$F$46</definedName>
    <definedName name="BP1_Gr" localSheetId="35">[34]BP1!$F$7:$F$46</definedName>
    <definedName name="BP1_Gr" localSheetId="13">[33]BP1!$F$7:$F$46</definedName>
    <definedName name="BP1_Gr">[35]BP1!$F$7:$F$46</definedName>
    <definedName name="BP1_Gross">[31]BP1!$F$47</definedName>
    <definedName name="BP1_Net">[31]BP1!$H$7:$H$46</definedName>
    <definedName name="BP1_VAT">[31]BP1!$G$47</definedName>
    <definedName name="BP10_An">[31]BP10!$I$7:$I$46</definedName>
    <definedName name="BP10_Clrd" localSheetId="33">[33]BP10!$E$7:$E$46</definedName>
    <definedName name="BP10_Clrd" localSheetId="19">[33]BP10!$E$7:$E$46</definedName>
    <definedName name="BP10_Clrd" localSheetId="32">[34]BP10!$E$7:$E$46</definedName>
    <definedName name="BP10_Clrd" localSheetId="35">[34]BP10!$E$7:$E$46</definedName>
    <definedName name="BP10_Clrd" localSheetId="13">[33]BP10!$E$7:$E$46</definedName>
    <definedName name="BP10_Clrd">[35]BP10!$E$7:$E$46</definedName>
    <definedName name="BP10_Gr" localSheetId="33">[33]BP10!$F$7:$F$46</definedName>
    <definedName name="BP10_Gr" localSheetId="19">[33]BP10!$F$7:$F$46</definedName>
    <definedName name="BP10_Gr" localSheetId="32">[34]BP10!$F$7:$F$46</definedName>
    <definedName name="BP10_Gr" localSheetId="35">[34]BP10!$F$7:$F$46</definedName>
    <definedName name="BP10_Gr" localSheetId="13">[33]BP10!$F$7:$F$46</definedName>
    <definedName name="BP10_Gr">[35]BP10!$F$7:$F$46</definedName>
    <definedName name="BP10_Gross">[31]BP10!$F$47</definedName>
    <definedName name="BP10_Net">[31]BP10!$H$7:$H$46</definedName>
    <definedName name="BP10_VAT">[31]BP10!$G$47</definedName>
    <definedName name="BP11_An">[31]BP11!$I$7:$I$46</definedName>
    <definedName name="BP11_Clrd" localSheetId="33">[33]BP11!$E$7:$E$46</definedName>
    <definedName name="BP11_Clrd" localSheetId="19">[33]BP11!$E$7:$E$46</definedName>
    <definedName name="BP11_Clrd" localSheetId="32">[34]BP11!$E$7:$E$46</definedName>
    <definedName name="BP11_Clrd" localSheetId="35">[34]BP11!$E$7:$E$46</definedName>
    <definedName name="BP11_Clrd" localSheetId="13">[33]BP11!$E$7:$E$46</definedName>
    <definedName name="BP11_Clrd">[35]BP11!$E$7:$E$46</definedName>
    <definedName name="BP11_Gr" localSheetId="33">[33]BP11!$F$7:$F$46</definedName>
    <definedName name="BP11_Gr" localSheetId="19">[33]BP11!$F$7:$F$46</definedName>
    <definedName name="BP11_Gr" localSheetId="32">[34]BP11!$F$7:$F$46</definedName>
    <definedName name="BP11_Gr" localSheetId="35">[34]BP11!$F$7:$F$46</definedName>
    <definedName name="BP11_Gr" localSheetId="13">[33]BP11!$F$7:$F$46</definedName>
    <definedName name="BP11_Gr">[35]BP11!$F$7:$F$46</definedName>
    <definedName name="BP11_Gross">[31]BP11!$F$47</definedName>
    <definedName name="BP11_Net">[31]BP11!$H$7:$H$46</definedName>
    <definedName name="BP11_VAT">[31]BP11!$G$47</definedName>
    <definedName name="BP12_An">[31]BP12!$I$7:$I$46</definedName>
    <definedName name="BP12_Clrd" localSheetId="33">[33]BP12!$E$7:$E$46</definedName>
    <definedName name="BP12_Clrd" localSheetId="19">[33]BP12!$E$7:$E$46</definedName>
    <definedName name="BP12_Clrd" localSheetId="32">[34]BP12!$E$7:$E$46</definedName>
    <definedName name="BP12_Clrd" localSheetId="35">[34]BP12!$E$7:$E$46</definedName>
    <definedName name="BP12_Clrd" localSheetId="13">[33]BP12!$E$7:$E$46</definedName>
    <definedName name="BP12_Clrd">[35]BP12!$E$7:$E$46</definedName>
    <definedName name="BP12_Gr" localSheetId="33">[33]BP12!$F$7:$F$46</definedName>
    <definedName name="BP12_Gr" localSheetId="19">[33]BP12!$F$7:$F$46</definedName>
    <definedName name="BP12_Gr" localSheetId="32">[34]BP12!$F$7:$F$46</definedName>
    <definedName name="BP12_Gr" localSheetId="35">[34]BP12!$F$7:$F$46</definedName>
    <definedName name="BP12_Gr" localSheetId="13">[33]BP12!$F$7:$F$46</definedName>
    <definedName name="BP12_Gr">[35]BP12!$F$7:$F$46</definedName>
    <definedName name="BP12_Gross">[31]BP12!$F$47</definedName>
    <definedName name="BP12_Net">[31]BP12!$H$7:$H$46</definedName>
    <definedName name="BP12_VAT">[31]BP12!$G$47</definedName>
    <definedName name="BP2_An">[31]BP2!$I$7:$I$46</definedName>
    <definedName name="BP2_Clrd" localSheetId="33">[33]BP2!$E$7:$E$46</definedName>
    <definedName name="BP2_Clrd" localSheetId="19">[33]BP2!$E$7:$E$46</definedName>
    <definedName name="BP2_Clrd" localSheetId="32">[34]BP2!$E$7:$E$46</definedName>
    <definedName name="BP2_Clrd" localSheetId="35">[34]BP2!$E$7:$E$46</definedName>
    <definedName name="BP2_Clrd" localSheetId="13">[33]BP2!$E$7:$E$46</definedName>
    <definedName name="BP2_Clrd">[35]BP2!$E$7:$E$46</definedName>
    <definedName name="BP2_Gr" localSheetId="33">[33]BP2!$F$7:$F$46</definedName>
    <definedName name="BP2_Gr" localSheetId="19">[33]BP2!$F$7:$F$46</definedName>
    <definedName name="BP2_Gr" localSheetId="32">[34]BP2!$F$7:$F$46</definedName>
    <definedName name="BP2_Gr" localSheetId="35">[34]BP2!$F$7:$F$46</definedName>
    <definedName name="BP2_Gr" localSheetId="13">[33]BP2!$F$7:$F$46</definedName>
    <definedName name="BP2_Gr">[35]BP2!$F$7:$F$46</definedName>
    <definedName name="BP2_Gross">[31]BP2!$F$47</definedName>
    <definedName name="BP2_Net">[31]BP2!$H$7:$H$46</definedName>
    <definedName name="BP2_VAT">[31]BP2!$G$47</definedName>
    <definedName name="BP3_An">[31]BP3!$I$7:$I$46</definedName>
    <definedName name="BP3_Clrd" localSheetId="33">[33]BP3!$E$7:$E$46</definedName>
    <definedName name="BP3_Clrd" localSheetId="19">[33]BP3!$E$7:$E$46</definedName>
    <definedName name="BP3_Clrd" localSheetId="32">[34]BP3!$E$7:$E$46</definedName>
    <definedName name="BP3_Clrd" localSheetId="35">[34]BP3!$E$7:$E$46</definedName>
    <definedName name="BP3_Clrd" localSheetId="13">[33]BP3!$E$7:$E$46</definedName>
    <definedName name="BP3_Clrd">[35]BP3!$E$7:$E$46</definedName>
    <definedName name="BP3_Gr" localSheetId="33">[33]BP3!$F$7:$F$46</definedName>
    <definedName name="BP3_Gr" localSheetId="19">[33]BP3!$F$7:$F$46</definedName>
    <definedName name="BP3_Gr" localSheetId="32">[34]BP3!$F$7:$F$46</definedName>
    <definedName name="BP3_Gr" localSheetId="35">[34]BP3!$F$7:$F$46</definedName>
    <definedName name="BP3_Gr" localSheetId="13">[33]BP3!$F$7:$F$46</definedName>
    <definedName name="BP3_Gr">[35]BP3!$F$7:$F$46</definedName>
    <definedName name="BP3_Gross">[31]BP3!$F$47</definedName>
    <definedName name="BP3_Net">[31]BP3!$H$7:$H$46</definedName>
    <definedName name="BP3_VAT">[31]BP3!$G$47</definedName>
    <definedName name="BP4_An">[31]BP4!$I$7:$I$46</definedName>
    <definedName name="BP4_Clrd" localSheetId="33">[33]BP4!$E$7:$E$46</definedName>
    <definedName name="BP4_Clrd" localSheetId="19">[33]BP4!$E$7:$E$46</definedName>
    <definedName name="BP4_Clrd" localSheetId="32">[34]BP4!$E$7:$E$46</definedName>
    <definedName name="BP4_Clrd" localSheetId="35">[34]BP4!$E$7:$E$46</definedName>
    <definedName name="BP4_Clrd" localSheetId="13">[33]BP4!$E$7:$E$46</definedName>
    <definedName name="BP4_Clrd">[35]BP4!$E$7:$E$46</definedName>
    <definedName name="BP4_Gr" localSheetId="33">[33]BP4!$F$7:$F$46</definedName>
    <definedName name="BP4_Gr" localSheetId="19">[33]BP4!$F$7:$F$46</definedName>
    <definedName name="BP4_Gr" localSheetId="32">[34]BP4!$F$7:$F$46</definedName>
    <definedName name="BP4_Gr" localSheetId="35">[34]BP4!$F$7:$F$46</definedName>
    <definedName name="BP4_Gr" localSheetId="13">[33]BP4!$F$7:$F$46</definedName>
    <definedName name="BP4_Gr">[35]BP4!$F$7:$F$46</definedName>
    <definedName name="BP4_Gross">[31]BP4!$F$47</definedName>
    <definedName name="BP4_Net">[31]BP4!$H$7:$H$46</definedName>
    <definedName name="BP4_VAT">[31]BP4!$G$47</definedName>
    <definedName name="BP5_An">[31]BP5!$I$7:$I$46</definedName>
    <definedName name="BP5_Clrd" localSheetId="33">[33]BP5!$E$7:$E$46</definedName>
    <definedName name="BP5_Clrd" localSheetId="19">[33]BP5!$E$7:$E$46</definedName>
    <definedName name="BP5_Clrd" localSheetId="32">[34]BP5!$E$7:$E$46</definedName>
    <definedName name="BP5_Clrd" localSheetId="35">[34]BP5!$E$7:$E$46</definedName>
    <definedName name="BP5_Clrd" localSheetId="13">[33]BP5!$E$7:$E$46</definedName>
    <definedName name="BP5_Clrd">[35]BP5!$E$7:$E$46</definedName>
    <definedName name="BP5_Gr" localSheetId="33">[33]BP5!$F$7:$F$46</definedName>
    <definedName name="BP5_Gr" localSheetId="19">[33]BP5!$F$7:$F$46</definedName>
    <definedName name="BP5_Gr" localSheetId="32">[34]BP5!$F$7:$F$46</definedName>
    <definedName name="BP5_Gr" localSheetId="35">[34]BP5!$F$7:$F$46</definedName>
    <definedName name="BP5_Gr" localSheetId="13">[33]BP5!$F$7:$F$46</definedName>
    <definedName name="BP5_Gr">[35]BP5!$F$7:$F$46</definedName>
    <definedName name="BP5_Gross">[31]BP5!$F$47</definedName>
    <definedName name="BP5_Net">[31]BP5!$H$7:$H$46</definedName>
    <definedName name="BP5_VAT">[31]BP5!$G$47</definedName>
    <definedName name="BP6_An">[31]BP6!$I$7:$I$46</definedName>
    <definedName name="BP6_Clrd" localSheetId="33">[33]BP6!$E$7:$E$46</definedName>
    <definedName name="BP6_Clrd" localSheetId="19">[33]BP6!$E$7:$E$46</definedName>
    <definedName name="BP6_Clrd" localSheetId="32">[34]BP6!$E$7:$E$46</definedName>
    <definedName name="BP6_Clrd" localSheetId="35">[34]BP6!$E$7:$E$46</definedName>
    <definedName name="BP6_Clrd" localSheetId="13">[33]BP6!$E$7:$E$46</definedName>
    <definedName name="BP6_Clrd">[35]BP6!$E$7:$E$46</definedName>
    <definedName name="BP6_Gr" localSheetId="33">[33]BP6!$F$7:$F$46</definedName>
    <definedName name="BP6_Gr" localSheetId="19">[33]BP6!$F$7:$F$46</definedName>
    <definedName name="BP6_Gr" localSheetId="32">[34]BP6!$F$7:$F$46</definedName>
    <definedName name="BP6_Gr" localSheetId="35">[34]BP6!$F$7:$F$46</definedName>
    <definedName name="BP6_Gr" localSheetId="13">[33]BP6!$F$7:$F$46</definedName>
    <definedName name="BP6_Gr">[35]BP6!$F$7:$F$46</definedName>
    <definedName name="BP6_Gross">[31]BP6!$F$47</definedName>
    <definedName name="BP6_Net">[31]BP6!$H$7:$H$46</definedName>
    <definedName name="BP6_VAT">[31]BP6!$G$47</definedName>
    <definedName name="BP7_An">[31]BP7!$I$7:$I$46</definedName>
    <definedName name="BP7_Clrd" localSheetId="33">[33]BP7!$E$7:$E$46</definedName>
    <definedName name="BP7_Clrd" localSheetId="19">[33]BP7!$E$7:$E$46</definedName>
    <definedName name="BP7_Clrd" localSheetId="32">[34]BP7!$E$7:$E$46</definedName>
    <definedName name="BP7_Clrd" localSheetId="35">[34]BP7!$E$7:$E$46</definedName>
    <definedName name="BP7_Clrd" localSheetId="13">[33]BP7!$E$7:$E$46</definedName>
    <definedName name="BP7_Clrd">[35]BP7!$E$7:$E$46</definedName>
    <definedName name="BP7_Gr" localSheetId="33">[33]BP7!$F$7:$F$46</definedName>
    <definedName name="BP7_Gr" localSheetId="19">[33]BP7!$F$7:$F$46</definedName>
    <definedName name="BP7_Gr" localSheetId="32">[34]BP7!$F$7:$F$46</definedName>
    <definedName name="BP7_Gr" localSheetId="35">[34]BP7!$F$7:$F$46</definedName>
    <definedName name="BP7_Gr" localSheetId="13">[33]BP7!$F$7:$F$46</definedName>
    <definedName name="BP7_Gr">[35]BP7!$F$7:$F$46</definedName>
    <definedName name="BP7_Gross">[31]BP7!$F$47</definedName>
    <definedName name="BP7_Net">[31]BP7!$H$7:$H$46</definedName>
    <definedName name="BP7_VAT">[31]BP7!$G$47</definedName>
    <definedName name="BP8_An">[31]BP8!$I$7:$I$46</definedName>
    <definedName name="BP8_Clrd" localSheetId="33">[33]BP8!$E$7:$E$46</definedName>
    <definedName name="BP8_Clrd" localSheetId="19">[33]BP8!$E$7:$E$46</definedName>
    <definedName name="BP8_Clrd" localSheetId="32">[34]BP8!$E$7:$E$46</definedName>
    <definedName name="BP8_Clrd" localSheetId="35">[34]BP8!$E$7:$E$46</definedName>
    <definedName name="BP8_Clrd" localSheetId="13">[33]BP8!$E$7:$E$46</definedName>
    <definedName name="BP8_Clrd">[35]BP8!$E$7:$E$46</definedName>
    <definedName name="BP8_Gr" localSheetId="33">[33]BP8!$F$7:$F$46</definedName>
    <definedName name="BP8_Gr" localSheetId="19">[33]BP8!$F$7:$F$46</definedName>
    <definedName name="BP8_Gr" localSheetId="32">[34]BP8!$F$7:$F$46</definedName>
    <definedName name="BP8_Gr" localSheetId="35">[34]BP8!$F$7:$F$46</definedName>
    <definedName name="BP8_Gr" localSheetId="13">[33]BP8!$F$7:$F$46</definedName>
    <definedName name="BP8_Gr">[35]BP8!$F$7:$F$46</definedName>
    <definedName name="BP8_Gross">[31]BP8!$F$47</definedName>
    <definedName name="BP8_Net">[31]BP8!$H$7:$H$46</definedName>
    <definedName name="BP8_VAT">[31]BP8!$G$47</definedName>
    <definedName name="BP9_An">[31]BP9!$I$7:$I$46</definedName>
    <definedName name="BP9_Clrd" localSheetId="33">[33]BP9!$E$7:$E$46</definedName>
    <definedName name="BP9_Clrd" localSheetId="19">[33]BP9!$E$7:$E$46</definedName>
    <definedName name="BP9_Clrd" localSheetId="32">[34]BP9!$E$7:$E$46</definedName>
    <definedName name="BP9_Clrd" localSheetId="35">[34]BP9!$E$7:$E$46</definedName>
    <definedName name="BP9_Clrd" localSheetId="13">[33]BP9!$E$7:$E$46</definedName>
    <definedName name="BP9_Clrd">[35]BP9!$E$7:$E$46</definedName>
    <definedName name="BP9_Gr" localSheetId="33">[33]BP9!$F$7:$F$46</definedName>
    <definedName name="BP9_Gr" localSheetId="19">[33]BP9!$F$7:$F$46</definedName>
    <definedName name="BP9_Gr" localSheetId="32">[34]BP9!$F$7:$F$46</definedName>
    <definedName name="BP9_Gr" localSheetId="35">[34]BP9!$F$7:$F$46</definedName>
    <definedName name="BP9_Gr" localSheetId="13">[33]BP9!$F$7:$F$46</definedName>
    <definedName name="BP9_Gr">[35]BP9!$F$7:$F$46</definedName>
    <definedName name="BP9_Gross">[31]BP9!$F$47</definedName>
    <definedName name="BP9_Net">[31]BP9!$H$7:$H$46</definedName>
    <definedName name="BP9_VAT">[31]BP9!$G$47</definedName>
    <definedName name="BR1_An">[31]BR1!$I$7:$I$46</definedName>
    <definedName name="BR1_Clrd" localSheetId="33">[33]BR1!$E$7:$E$46</definedName>
    <definedName name="BR1_Clrd" localSheetId="19">[33]BR1!$E$7:$E$46</definedName>
    <definedName name="BR1_Clrd" localSheetId="32">[34]BR1!$E$7:$E$46</definedName>
    <definedName name="BR1_Clrd" localSheetId="35">[34]BR1!$E$7:$E$46</definedName>
    <definedName name="BR1_Clrd" localSheetId="13">[33]BR1!$E$7:$E$46</definedName>
    <definedName name="BR1_Clrd">[35]BR1!$E$7:$E$46</definedName>
    <definedName name="BR1_Gr" localSheetId="33">[33]BR1!$F$7:$F$46</definedName>
    <definedName name="BR1_Gr" localSheetId="19">[33]BR1!$F$7:$F$46</definedName>
    <definedName name="BR1_Gr" localSheetId="32">[34]BR1!$F$7:$F$46</definedName>
    <definedName name="BR1_Gr" localSheetId="35">[34]BR1!$F$7:$F$46</definedName>
    <definedName name="BR1_Gr" localSheetId="13">[33]BR1!$F$7:$F$46</definedName>
    <definedName name="BR1_Gr">[35]BR1!$F$7:$F$46</definedName>
    <definedName name="BR1_Gross">[31]BR1!$F$47</definedName>
    <definedName name="BR1_Month">[31]BR1!$C$3</definedName>
    <definedName name="BR1_Net">[31]BR1!$H$7:$H$46</definedName>
    <definedName name="BR1_VAT">[31]BR1!$G$47</definedName>
    <definedName name="BR10_An">[31]BR10!$I$7:$I$46</definedName>
    <definedName name="BR10_Clrd" localSheetId="33">[33]BR10!$E$7:$E$46</definedName>
    <definedName name="BR10_Clrd" localSheetId="19">[33]BR10!$E$7:$E$46</definedName>
    <definedName name="BR10_Clrd" localSheetId="32">[34]BR10!$E$7:$E$46</definedName>
    <definedName name="BR10_Clrd" localSheetId="35">[34]BR10!$E$7:$E$46</definedName>
    <definedName name="BR10_Clrd" localSheetId="13">[33]BR10!$E$7:$E$46</definedName>
    <definedName name="BR10_Clrd">[35]BR10!$E$7:$E$46</definedName>
    <definedName name="BR10_Gr" localSheetId="33">[33]BR10!$F$7:$F$46</definedName>
    <definedName name="BR10_Gr" localSheetId="19">[33]BR10!$F$7:$F$46</definedName>
    <definedName name="BR10_Gr" localSheetId="32">[34]BR10!$F$7:$F$46</definedName>
    <definedName name="BR10_Gr" localSheetId="35">[34]BR10!$F$7:$F$46</definedName>
    <definedName name="BR10_Gr" localSheetId="13">[33]BR10!$F$7:$F$46</definedName>
    <definedName name="BR10_Gr">[35]BR10!$F$7:$F$46</definedName>
    <definedName name="BR10_Gross">[31]BR10!$F$47</definedName>
    <definedName name="BR10_Month">[31]BR10!$C$3</definedName>
    <definedName name="BR10_Net">[31]BR10!$H$7:$H$46</definedName>
    <definedName name="BR10_VAT">[31]BR10!$G$47</definedName>
    <definedName name="BR11_An">[31]BR11!$I$7:$I$46</definedName>
    <definedName name="BR11_Clrd" localSheetId="33">[33]BR11!$E$7:$E$46</definedName>
    <definedName name="BR11_Clrd" localSheetId="19">[33]BR11!$E$7:$E$46</definedName>
    <definedName name="BR11_Clrd" localSheetId="32">[34]BR11!$E$7:$E$46</definedName>
    <definedName name="BR11_Clrd" localSheetId="35">[34]BR11!$E$7:$E$46</definedName>
    <definedName name="BR11_Clrd" localSheetId="13">[33]BR11!$E$7:$E$46</definedName>
    <definedName name="BR11_Clrd">[35]BR11!$E$7:$E$46</definedName>
    <definedName name="BR11_Gr" localSheetId="33">[33]BR11!$F$7:$F$46</definedName>
    <definedName name="BR11_Gr" localSheetId="19">[33]BR11!$F$7:$F$46</definedName>
    <definedName name="BR11_Gr" localSheetId="32">[34]BR11!$F$7:$F$46</definedName>
    <definedName name="BR11_Gr" localSheetId="35">[34]BR11!$F$7:$F$46</definedName>
    <definedName name="BR11_Gr" localSheetId="13">[33]BR11!$F$7:$F$46</definedName>
    <definedName name="BR11_Gr">[35]BR11!$F$7:$F$46</definedName>
    <definedName name="BR11_Gross">[31]BR11!$F$47</definedName>
    <definedName name="BR11_Month">[31]BR11!$C$3</definedName>
    <definedName name="BR11_Net">[31]BR11!$H$7:$H$46</definedName>
    <definedName name="BR11_VAT">[31]BR11!$G$47</definedName>
    <definedName name="BR12_An">[31]BR12!$I$7:$I$46</definedName>
    <definedName name="BR12_Clrd" localSheetId="33">[33]BR12!$E$7:$E$46</definedName>
    <definedName name="BR12_Clrd" localSheetId="19">[33]BR12!$E$7:$E$46</definedName>
    <definedName name="BR12_Clrd" localSheetId="32">[34]BR12!$E$7:$E$46</definedName>
    <definedName name="BR12_Clrd" localSheetId="35">[34]BR12!$E$7:$E$46</definedName>
    <definedName name="BR12_Clrd" localSheetId="13">[33]BR12!$E$7:$E$46</definedName>
    <definedName name="BR12_Clrd">[35]BR12!$E$7:$E$46</definedName>
    <definedName name="BR12_Gr" localSheetId="33">[33]BR12!$F$7:$F$46</definedName>
    <definedName name="BR12_Gr" localSheetId="19">[33]BR12!$F$7:$F$46</definedName>
    <definedName name="BR12_Gr" localSheetId="32">[34]BR12!$F$7:$F$46</definedName>
    <definedName name="BR12_Gr" localSheetId="35">[34]BR12!$F$7:$F$46</definedName>
    <definedName name="BR12_Gr" localSheetId="13">[33]BR12!$F$7:$F$46</definedName>
    <definedName name="BR12_Gr">[35]BR12!$F$7:$F$46</definedName>
    <definedName name="BR12_Gross">[31]BR12!$F$47</definedName>
    <definedName name="BR12_Month">[31]BR12!$C$3</definedName>
    <definedName name="BR12_Net">[31]BR12!$H$7:$H$46</definedName>
    <definedName name="BR12_VAT">[31]BR12!$G$47</definedName>
    <definedName name="BR2_An">[31]BR2!$I$7:$I$46</definedName>
    <definedName name="BR2_Clrd" localSheetId="33">[33]BR2!$E$7:$E$46</definedName>
    <definedName name="BR2_Clrd" localSheetId="19">[33]BR2!$E$7:$E$46</definedName>
    <definedName name="BR2_Clrd" localSheetId="32">[34]BR2!$E$7:$E$46</definedName>
    <definedName name="BR2_Clrd" localSheetId="35">[34]BR2!$E$7:$E$46</definedName>
    <definedName name="BR2_Clrd" localSheetId="13">[33]BR2!$E$7:$E$46</definedName>
    <definedName name="BR2_Clrd">[35]BR2!$E$7:$E$46</definedName>
    <definedName name="BR2_Gr" localSheetId="33">[33]BR2!$F$7:$F$46</definedName>
    <definedName name="BR2_Gr" localSheetId="19">[33]BR2!$F$7:$F$46</definedName>
    <definedName name="BR2_Gr" localSheetId="32">[34]BR2!$F$7:$F$46</definedName>
    <definedName name="BR2_Gr" localSheetId="35">[34]BR2!$F$7:$F$46</definedName>
    <definedName name="BR2_Gr" localSheetId="13">[33]BR2!$F$7:$F$46</definedName>
    <definedName name="BR2_Gr">[35]BR2!$F$7:$F$46</definedName>
    <definedName name="BR2_Gross">[31]BR2!$F$47</definedName>
    <definedName name="BR2_Month">[31]BR2!$C$3</definedName>
    <definedName name="BR2_Net">[31]BR2!$H$7:$H$46</definedName>
    <definedName name="BR2_VAT">[31]BR2!$G$47</definedName>
    <definedName name="BR3_An">[31]BR3!$I$7:$I$46</definedName>
    <definedName name="BR3_Clrd" localSheetId="33">[33]BR3!$E$7:$E$46</definedName>
    <definedName name="BR3_Clrd" localSheetId="19">[33]BR3!$E$7:$E$46</definedName>
    <definedName name="BR3_Clrd" localSheetId="32">[34]BR3!$E$7:$E$46</definedName>
    <definedName name="BR3_Clrd" localSheetId="35">[34]BR3!$E$7:$E$46</definedName>
    <definedName name="BR3_Clrd" localSheetId="13">[33]BR3!$E$7:$E$46</definedName>
    <definedName name="BR3_Clrd">[35]BR3!$E$7:$E$46</definedName>
    <definedName name="BR3_Gr" localSheetId="33">[33]BR3!$F$7:$F$46</definedName>
    <definedName name="BR3_Gr" localSheetId="19">[33]BR3!$F$7:$F$46</definedName>
    <definedName name="BR3_Gr" localSheetId="32">[34]BR3!$F$7:$F$46</definedName>
    <definedName name="BR3_Gr" localSheetId="35">[34]BR3!$F$7:$F$46</definedName>
    <definedName name="BR3_Gr" localSheetId="13">[33]BR3!$F$7:$F$46</definedName>
    <definedName name="BR3_Gr">[35]BR3!$F$7:$F$46</definedName>
    <definedName name="BR3_Gross">[31]BR3!$F$47</definedName>
    <definedName name="BR3_Month">[31]BR3!$C$3</definedName>
    <definedName name="BR3_Net">[31]BR3!$H$7:$H$46</definedName>
    <definedName name="BR3_VAT">[31]BR3!$G$47</definedName>
    <definedName name="BR4_An">[31]BR4!$I$7:$I$46</definedName>
    <definedName name="BR4_Clrd" localSheetId="33">[33]BR4!$E$7:$E$46</definedName>
    <definedName name="BR4_Clrd" localSheetId="19">[33]BR4!$E$7:$E$46</definedName>
    <definedName name="BR4_Clrd" localSheetId="32">[34]BR4!$E$7:$E$46</definedName>
    <definedName name="BR4_Clrd" localSheetId="35">[34]BR4!$E$7:$E$46</definedName>
    <definedName name="BR4_Clrd" localSheetId="13">[33]BR4!$E$7:$E$46</definedName>
    <definedName name="BR4_Clrd">[35]BR4!$E$7:$E$46</definedName>
    <definedName name="BR4_Gr" localSheetId="33">[33]BR4!$F$7:$F$46</definedName>
    <definedName name="BR4_Gr" localSheetId="19">[33]BR4!$F$7:$F$46</definedName>
    <definedName name="BR4_Gr" localSheetId="32">[34]BR4!$F$7:$F$46</definedName>
    <definedName name="BR4_Gr" localSheetId="35">[34]BR4!$F$7:$F$46</definedName>
    <definedName name="BR4_Gr" localSheetId="13">[33]BR4!$F$7:$F$46</definedName>
    <definedName name="BR4_Gr">[35]BR4!$F$7:$F$46</definedName>
    <definedName name="BR4_Gross">[31]BR4!$F$47</definedName>
    <definedName name="BR4_Month">[31]BR4!$C$3</definedName>
    <definedName name="BR4_Net">[31]BR4!$H$7:$H$46</definedName>
    <definedName name="BR4_VAT">[31]BR4!$G$47</definedName>
    <definedName name="BR5_An">[31]BR5!$I$7:$I$46</definedName>
    <definedName name="BR5_Clrd" localSheetId="33">[33]BR5!$E$7:$E$46</definedName>
    <definedName name="BR5_Clrd" localSheetId="19">[33]BR5!$E$7:$E$46</definedName>
    <definedName name="BR5_Clrd" localSheetId="32">[34]BR5!$E$7:$E$46</definedName>
    <definedName name="BR5_Clrd" localSheetId="35">[34]BR5!$E$7:$E$46</definedName>
    <definedName name="BR5_Clrd" localSheetId="13">[33]BR5!$E$7:$E$46</definedName>
    <definedName name="BR5_Clrd">[35]BR5!$E$7:$E$46</definedName>
    <definedName name="BR5_Gr" localSheetId="33">[33]BR5!$F$7:$F$46</definedName>
    <definedName name="BR5_Gr" localSheetId="19">[33]BR5!$F$7:$F$46</definedName>
    <definedName name="BR5_Gr" localSheetId="32">[34]BR5!$F$7:$F$46</definedName>
    <definedName name="BR5_Gr" localSheetId="35">[34]BR5!$F$7:$F$46</definedName>
    <definedName name="BR5_Gr" localSheetId="13">[33]BR5!$F$7:$F$46</definedName>
    <definedName name="BR5_Gr">[35]BR5!$F$7:$F$46</definedName>
    <definedName name="BR5_Gross">[31]BR5!$F$47</definedName>
    <definedName name="BR5_Month">[31]BR5!$C$3</definedName>
    <definedName name="BR5_Net">[31]BR5!$H$7:$H$46</definedName>
    <definedName name="BR5_VAT">[31]BR5!$G$47</definedName>
    <definedName name="BR6_An">[31]BR6!$I$7:$I$46</definedName>
    <definedName name="BR6_Clrd" localSheetId="33">[33]BR6!$E$7:$E$46</definedName>
    <definedName name="BR6_Clrd" localSheetId="19">[33]BR6!$E$7:$E$46</definedName>
    <definedName name="BR6_Clrd" localSheetId="32">[34]BR6!$E$7:$E$46</definedName>
    <definedName name="BR6_Clrd" localSheetId="35">[34]BR6!$E$7:$E$46</definedName>
    <definedName name="BR6_Clrd" localSheetId="13">[33]BR6!$E$7:$E$46</definedName>
    <definedName name="BR6_Clrd">[35]BR6!$E$7:$E$46</definedName>
    <definedName name="BR6_Gr" localSheetId="33">[33]BR6!$F$7:$F$46</definedName>
    <definedName name="BR6_Gr" localSheetId="19">[33]BR6!$F$7:$F$46</definedName>
    <definedName name="BR6_Gr" localSheetId="32">[34]BR6!$F$7:$F$46</definedName>
    <definedName name="BR6_Gr" localSheetId="35">[34]BR6!$F$7:$F$46</definedName>
    <definedName name="BR6_Gr" localSheetId="13">[33]BR6!$F$7:$F$46</definedName>
    <definedName name="BR6_Gr">[35]BR6!$F$7:$F$46</definedName>
    <definedName name="BR6_Gross">[31]BR6!$F$47</definedName>
    <definedName name="BR6_Month">[31]BR6!$C$3</definedName>
    <definedName name="BR6_Net">[31]BR6!$H$7:$H$46</definedName>
    <definedName name="BR6_VAT">[31]BR6!$G$47</definedName>
    <definedName name="BR7_An">[31]BR7!$I$7:$I$46</definedName>
    <definedName name="BR7_Clrd" localSheetId="33">[33]BR7!$E$7:$E$46</definedName>
    <definedName name="BR7_Clrd" localSheetId="19">[33]BR7!$E$7:$E$46</definedName>
    <definedName name="BR7_Clrd" localSheetId="32">[34]BR7!$E$7:$E$46</definedName>
    <definedName name="BR7_Clrd" localSheetId="35">[34]BR7!$E$7:$E$46</definedName>
    <definedName name="BR7_Clrd" localSheetId="13">[33]BR7!$E$7:$E$46</definedName>
    <definedName name="BR7_Clrd">[35]BR7!$E$7:$E$46</definedName>
    <definedName name="BR7_Gr" localSheetId="33">[33]BR7!$F$7:$F$46</definedName>
    <definedName name="BR7_Gr" localSheetId="19">[33]BR7!$F$7:$F$46</definedName>
    <definedName name="BR7_Gr" localSheetId="32">[34]BR7!$F$7:$F$46</definedName>
    <definedName name="BR7_Gr" localSheetId="35">[34]BR7!$F$7:$F$46</definedName>
    <definedName name="BR7_Gr" localSheetId="13">[33]BR7!$F$7:$F$46</definedName>
    <definedName name="BR7_Gr">[35]BR7!$F$7:$F$46</definedName>
    <definedName name="BR7_Gross">[31]BR7!$F$47</definedName>
    <definedName name="BR7_Month">[31]BR7!$C$3</definedName>
    <definedName name="BR7_Net">[31]BR7!$H$7:$H$46</definedName>
    <definedName name="BR7_VAT">[31]BR7!$G$47</definedName>
    <definedName name="BR8_An">[31]BR8!$I$7:$I$46</definedName>
    <definedName name="BR8_Clrd" localSheetId="33">[33]BR8!$E$7:$E$46</definedName>
    <definedName name="BR8_Clrd" localSheetId="19">[33]BR8!$E$7:$E$46</definedName>
    <definedName name="BR8_Clrd" localSheetId="32">[34]BR8!$E$7:$E$46</definedName>
    <definedName name="BR8_Clrd" localSheetId="35">[34]BR8!$E$7:$E$46</definedName>
    <definedName name="BR8_Clrd" localSheetId="13">[33]BR8!$E$7:$E$46</definedName>
    <definedName name="BR8_Clrd">[35]BR8!$E$7:$E$46</definedName>
    <definedName name="BR8_Gr" localSheetId="33">[33]BR8!$F$7:$F$46</definedName>
    <definedName name="BR8_Gr" localSheetId="19">[33]BR8!$F$7:$F$46</definedName>
    <definedName name="BR8_Gr" localSheetId="32">[34]BR8!$F$7:$F$46</definedName>
    <definedName name="BR8_Gr" localSheetId="35">[34]BR8!$F$7:$F$46</definedName>
    <definedName name="BR8_Gr" localSheetId="13">[33]BR8!$F$7:$F$46</definedName>
    <definedName name="BR8_Gr">[35]BR8!$F$7:$F$46</definedName>
    <definedName name="BR8_Gross">[31]BR8!$F$47</definedName>
    <definedName name="BR8_Month">[31]BR8!$C$3</definedName>
    <definedName name="BR8_Net">[31]BR8!$H$7:$H$46</definedName>
    <definedName name="BR8_VAT">[31]BR8!$G$47</definedName>
    <definedName name="BR9_An">[31]BR9!$I$7:$I$46</definedName>
    <definedName name="BR9_Clrd" localSheetId="33">[33]BR9!$E$7:$E$46</definedName>
    <definedName name="BR9_Clrd" localSheetId="19">[33]BR9!$E$7:$E$46</definedName>
    <definedName name="BR9_Clrd" localSheetId="32">[34]BR9!$E$7:$E$46</definedName>
    <definedName name="BR9_Clrd" localSheetId="35">[34]BR9!$E$7:$E$46</definedName>
    <definedName name="BR9_Clrd" localSheetId="13">[33]BR9!$E$7:$E$46</definedName>
    <definedName name="BR9_Clrd">[35]BR9!$E$7:$E$46</definedName>
    <definedName name="BR9_Gr" localSheetId="33">[33]BR9!$F$7:$F$46</definedName>
    <definedName name="BR9_Gr" localSheetId="19">[33]BR9!$F$7:$F$46</definedName>
    <definedName name="BR9_Gr" localSheetId="32">[34]BR9!$F$7:$F$46</definedName>
    <definedName name="BR9_Gr" localSheetId="35">[34]BR9!$F$7:$F$46</definedName>
    <definedName name="BR9_Gr" localSheetId="13">[33]BR9!$F$7:$F$46</definedName>
    <definedName name="BR9_Gr">[35]BR9!$F$7:$F$46</definedName>
    <definedName name="BR9_Gross">[31]BR9!$F$47</definedName>
    <definedName name="BR9_Month">[31]BR9!$C$3</definedName>
    <definedName name="BR9_Net">[31]BR9!$H$7:$H$46</definedName>
    <definedName name="BR9_VAT">[31]BR9!$G$47</definedName>
    <definedName name="BSDateLF">[25]Masters!$C$27</definedName>
    <definedName name="BSDateSF">[24]Masters!$C$28</definedName>
    <definedName name="BSSignDate">[25]Masters!$C$35</definedName>
    <definedName name="BU">'[36]Report Setup Sheet'!$B$50</definedName>
    <definedName name="BUDGET" localSheetId="1">#REF!</definedName>
    <definedName name="BUDGET" localSheetId="15">#REF!</definedName>
    <definedName name="BUDGET" localSheetId="34">#REF!</definedName>
    <definedName name="BUDGET" localSheetId="0">#REF!</definedName>
    <definedName name="BUDGET">#REF!</definedName>
    <definedName name="CA">[25]Masters!$C$19</definedName>
    <definedName name="cash_bank_bal_99" localSheetId="1">#REF!</definedName>
    <definedName name="cash_bank_bal_99" localSheetId="15">#REF!</definedName>
    <definedName name="cash_bank_bal_99" localSheetId="34">#REF!</definedName>
    <definedName name="cash_bank_bal_99" localSheetId="0">#REF!</definedName>
    <definedName name="cash_bank_bal_99">#REF!</definedName>
    <definedName name="cbi_facility_99" localSheetId="1">#REF!</definedName>
    <definedName name="cbi_facility_99" localSheetId="15">#REF!</definedName>
    <definedName name="cbi_facility_99" localSheetId="34">#REF!</definedName>
    <definedName name="cbi_facility_99" localSheetId="0">#REF!</definedName>
    <definedName name="cbi_facility_99">#REF!</definedName>
    <definedName name="cbs">[1]combined!$B$2:$H$82</definedName>
    <definedName name="cc" localSheetId="34" hidden="1">{#N/A,#N/A,TRUE,"Sheet1"}</definedName>
    <definedName name="cc" localSheetId="32" hidden="1">{#N/A,#N/A,TRUE,"Sheet1"}</definedName>
    <definedName name="cc" localSheetId="9" hidden="1">{#N/A,#N/A,TRUE,"Sheet1"}</definedName>
    <definedName name="cc" localSheetId="0" hidden="1">{#N/A,#N/A,TRUE,"Sheet1"}</definedName>
    <definedName name="cc" hidden="1">{#N/A,#N/A,TRUE,"Sheet1"}</definedName>
    <definedName name="CCC" localSheetId="33">#REF!</definedName>
    <definedName name="CCC" localSheetId="1">#REF!</definedName>
    <definedName name="CCC" localSheetId="19">#REF!</definedName>
    <definedName name="CCC" localSheetId="15">#REF!</definedName>
    <definedName name="CCC" localSheetId="34">#REF!</definedName>
    <definedName name="CCC" localSheetId="32">#REF!</definedName>
    <definedName name="CCC" localSheetId="35">#REF!</definedName>
    <definedName name="CCC" localSheetId="0">#REF!</definedName>
    <definedName name="CCC" localSheetId="13">#REF!</definedName>
    <definedName name="CCC">#REF!</definedName>
    <definedName name="CCSA" localSheetId="33">[37]Volumes!#REF!</definedName>
    <definedName name="CCSA" localSheetId="1">[37]Volumes!#REF!</definedName>
    <definedName name="CCSA" localSheetId="19">[37]Volumes!#REF!</definedName>
    <definedName name="CCSA" localSheetId="15">[37]Volumes!#REF!</definedName>
    <definedName name="CCSA" localSheetId="34">[37]Volumes!#REF!</definedName>
    <definedName name="CCSA" localSheetId="32">[37]Volumes!#REF!</definedName>
    <definedName name="CCSA" localSheetId="35">[37]Volumes!#REF!</definedName>
    <definedName name="CCSA" localSheetId="0">[37]Volumes!#REF!</definedName>
    <definedName name="CCSA" localSheetId="13">[37]Volumes!#REF!</definedName>
    <definedName name="CCSA">[37]Volumes!#REF!</definedName>
    <definedName name="challan" localSheetId="33">#REF!</definedName>
    <definedName name="challan" localSheetId="1">#REF!</definedName>
    <definedName name="challan" localSheetId="19">#REF!</definedName>
    <definedName name="challan" localSheetId="15">#REF!</definedName>
    <definedName name="challan" localSheetId="34">#REF!</definedName>
    <definedName name="challan" localSheetId="32">#REF!</definedName>
    <definedName name="challan" localSheetId="35">#REF!</definedName>
    <definedName name="challan" localSheetId="0">#REF!</definedName>
    <definedName name="challan" localSheetId="13">#REF!</definedName>
    <definedName name="challan">#REF!</definedName>
    <definedName name="ChallanDatabase" localSheetId="34">[38]Challan!$A$7:$S$58</definedName>
    <definedName name="ChallanDatabase">[39]Challan!$A$7:$S$15</definedName>
    <definedName name="ChallanDatabaseTotal" localSheetId="33">[20]Challan!$A$7:$U$23</definedName>
    <definedName name="ChallanDatabaseTotal" localSheetId="19">[20]Challan!$A$7:$U$23</definedName>
    <definedName name="ChallanDatabaseTotal" localSheetId="32">[21]Challan!$A$7:$U$23</definedName>
    <definedName name="ChallanDatabaseTotal" localSheetId="35">[21]Challan!$A$7:$U$23</definedName>
    <definedName name="ChallanDatabaseTotal" localSheetId="13">[20]Challan!$A$7:$U$23</definedName>
    <definedName name="ChallanDatabaseTotal">[22]Challan!$A$7:$U$23</definedName>
    <definedName name="ChallanSrnoList" localSheetId="33">[20]Challan!$A$7:$A$22</definedName>
    <definedName name="ChallanSrnoList" localSheetId="19">[20]Challan!$A$7:$A$22</definedName>
    <definedName name="ChallanSrnoList" localSheetId="32">[21]Challan!$A$7:$A$22</definedName>
    <definedName name="ChallanSrnoList" localSheetId="35">[21]Challan!$A$7:$A$22</definedName>
    <definedName name="ChallanSrnoList" localSheetId="13">[20]Challan!$A$7:$A$22</definedName>
    <definedName name="ChallanSrnoList">[22]Challan!$A$7:$A$22</definedName>
    <definedName name="checkpoints" localSheetId="33">#REF!</definedName>
    <definedName name="checkpoints" localSheetId="1">#REF!</definedName>
    <definedName name="checkpoints" localSheetId="19">#REF!</definedName>
    <definedName name="checkpoints" localSheetId="15">#REF!</definedName>
    <definedName name="checkpoints" localSheetId="34">#REF!</definedName>
    <definedName name="checkpoints" localSheetId="32">#REF!</definedName>
    <definedName name="checkpoints" localSheetId="35">#REF!</definedName>
    <definedName name="checkpoints" localSheetId="0">#REF!</definedName>
    <definedName name="checkpoints" localSheetId="13">#REF!</definedName>
    <definedName name="checkpoints">#REF!</definedName>
    <definedName name="CHINA_PLASTIC_in_KUSD" localSheetId="1">#REF!</definedName>
    <definedName name="CHINA_PLASTIC_in_KUSD" localSheetId="15">#REF!</definedName>
    <definedName name="CHINA_PLASTIC_in_KUSD" localSheetId="0">#REF!</definedName>
    <definedName name="CHINA_PLASTIC_in_KUSD">#REF!</definedName>
    <definedName name="cl_stk_rough_99" localSheetId="1">#REF!</definedName>
    <definedName name="cl_stk_rough_99" localSheetId="15">#REF!</definedName>
    <definedName name="cl_stk_rough_99" localSheetId="0">#REF!</definedName>
    <definedName name="cl_stk_rough_99">#REF!</definedName>
    <definedName name="CoAdd">[24]Masters!$C$4</definedName>
    <definedName name="CoAddCont">[25]Masters!$C$5</definedName>
    <definedName name="COI" localSheetId="33">#REF!</definedName>
    <definedName name="COI" localSheetId="1">#REF!</definedName>
    <definedName name="COI" localSheetId="19">#REF!</definedName>
    <definedName name="COI" localSheetId="15">#REF!</definedName>
    <definedName name="COI" localSheetId="34">#REF!</definedName>
    <definedName name="COI" localSheetId="32">#REF!</definedName>
    <definedName name="COI" localSheetId="35">#REF!</definedName>
    <definedName name="COI" localSheetId="0">#REF!</definedName>
    <definedName name="COI" localSheetId="13">#REF!</definedName>
    <definedName name="COI">#REF!</definedName>
    <definedName name="COMMTDS" localSheetId="33">#REF!</definedName>
    <definedName name="COMMTDS" localSheetId="1">#REF!</definedName>
    <definedName name="COMMTDS" localSheetId="19">#REF!</definedName>
    <definedName name="COMMTDS" localSheetId="15">#REF!</definedName>
    <definedName name="COMMTDS" localSheetId="34">#REF!</definedName>
    <definedName name="COMMTDS" localSheetId="32">#REF!</definedName>
    <definedName name="COMMTDS" localSheetId="35">#REF!</definedName>
    <definedName name="COMMTDS" localSheetId="0">#REF!</definedName>
    <definedName name="COMMTDS" localSheetId="13">#REF!</definedName>
    <definedName name="COMMTDS">#REF!</definedName>
    <definedName name="COMP" localSheetId="33">#REF!</definedName>
    <definedName name="COMP" localSheetId="1">#REF!</definedName>
    <definedName name="COMP" localSheetId="19">#REF!</definedName>
    <definedName name="COMP" localSheetId="15">#REF!</definedName>
    <definedName name="COMP" localSheetId="34">#REF!</definedName>
    <definedName name="COMP" localSheetId="32">#REF!</definedName>
    <definedName name="COMP" localSheetId="35">#REF!</definedName>
    <definedName name="COMP" localSheetId="0">#REF!</definedName>
    <definedName name="COMP" localSheetId="13">#REF!</definedName>
    <definedName name="COMP">#REF!</definedName>
    <definedName name="CompanyName">'[31]Company information'!$D$5</definedName>
    <definedName name="Comparative_Period" localSheetId="33" hidden="1">[28]Settings!$C$58</definedName>
    <definedName name="Comparative_Period" localSheetId="19" hidden="1">[28]Settings!$C$58</definedName>
    <definedName name="Comparative_Period" localSheetId="32" hidden="1">[29]Settings!$C$58</definedName>
    <definedName name="Comparative_Period" localSheetId="35" hidden="1">[29]Settings!$C$58</definedName>
    <definedName name="Comparative_Period" localSheetId="13" hidden="1">[28]Settings!$C$58</definedName>
    <definedName name="Comparative_Period" hidden="1">[30]Settings!$C$58</definedName>
    <definedName name="COMPDATE">#N/A</definedName>
    <definedName name="Computer" localSheetId="33">#REF!</definedName>
    <definedName name="Computer" localSheetId="1">#REF!</definedName>
    <definedName name="Computer" localSheetId="19">#REF!</definedName>
    <definedName name="Computer" localSheetId="15">#REF!</definedName>
    <definedName name="Computer" localSheetId="34">#REF!</definedName>
    <definedName name="Computer" localSheetId="32">#REF!</definedName>
    <definedName name="Computer" localSheetId="35">#REF!</definedName>
    <definedName name="Computer" localSheetId="0">#REF!</definedName>
    <definedName name="Computer" localSheetId="13">#REF!</definedName>
    <definedName name="Computer">#REF!</definedName>
    <definedName name="CoName">[24]Masters!$C$3</definedName>
    <definedName name="conersion" localSheetId="33">IF('Advance to Supplier'!Loan_Amount*'Advance to Supplier'!Interest_Rate*'Advance to Supplier'!Loan_Years*'Advance to Supplier'!Loan_Start&gt;0,1,0)</definedName>
    <definedName name="conersion" localSheetId="19">IF('Debtor''s Ageing'!Loan_Amount*'Debtor''s Ageing'!Interest_Rate*'Debtor''s Ageing'!Loan_Years*'Debtor''s Ageing'!Loan_Start&gt;0,1,0)</definedName>
    <definedName name="conersion" localSheetId="34">#N/A</definedName>
    <definedName name="conersion" localSheetId="32">IF('Loans to staff'!Loan_Amount*'Loans to staff'!Interest_Rate*'Loans to staff'!Loan_Years*'Loans to staff'!Loan_Start&gt;0,1,0)</definedName>
    <definedName name="conersion" localSheetId="35">IF('MSME 22-23'!Loan_Amount*'MSME 22-23'!Interest_Rate*'MSME 22-23'!Loan_Years*'MSME 22-23'!Loan_Start&gt;0,1,0)</definedName>
    <definedName name="conersion" localSheetId="13">IF('Related Parties'!Loan_Amount*'Related Parties'!Interest_Rate*'Related Parties'!Loan_Years*'Related Parties'!Loan_Start&gt;0,1,0)</definedName>
    <definedName name="conersion">#N/A</definedName>
    <definedName name="Consolidation" localSheetId="1">#REF!</definedName>
    <definedName name="Consolidation" localSheetId="15">#REF!</definedName>
    <definedName name="Consolidation" localSheetId="34">#REF!</definedName>
    <definedName name="Consolidation" localSheetId="0">#REF!</definedName>
    <definedName name="Consolidation">#REF!</definedName>
    <definedName name="contractor" localSheetId="33">#REF!</definedName>
    <definedName name="contractor" localSheetId="1">#REF!</definedName>
    <definedName name="contractor" localSheetId="19">#REF!</definedName>
    <definedName name="contractor" localSheetId="15">#REF!</definedName>
    <definedName name="contractor" localSheetId="34">#REF!</definedName>
    <definedName name="contractor" localSheetId="32">#REF!</definedName>
    <definedName name="contractor" localSheetId="35">#REF!</definedName>
    <definedName name="contractor" localSheetId="0">#REF!</definedName>
    <definedName name="contractor" localSheetId="13">#REF!</definedName>
    <definedName name="contractor">#REF!</definedName>
    <definedName name="contractors" localSheetId="33">#REF!</definedName>
    <definedName name="contractors" localSheetId="1">#REF!</definedName>
    <definedName name="contractors" localSheetId="19">#REF!</definedName>
    <definedName name="contractors" localSheetId="15">#REF!</definedName>
    <definedName name="contractors" localSheetId="34">#REF!</definedName>
    <definedName name="contractors" localSheetId="32">#REF!</definedName>
    <definedName name="contractors" localSheetId="35">#REF!</definedName>
    <definedName name="contractors" localSheetId="0">#REF!</definedName>
    <definedName name="contractors" localSheetId="13">#REF!</definedName>
    <definedName name="contractors">#REF!</definedName>
    <definedName name="conv" localSheetId="33">IF('Advance to Supplier'!Loan_Amount*'Advance to Supplier'!Interest_Rate*'Advance to Supplier'!Loan_Years*'Advance to Supplier'!Loan_Start&gt;0,1,0)</definedName>
    <definedName name="conv" localSheetId="19">IF('Debtor''s Ageing'!Loan_Amount*'Debtor''s Ageing'!Interest_Rate*'Debtor''s Ageing'!Loan_Years*'Debtor''s Ageing'!Loan_Start&gt;0,1,0)</definedName>
    <definedName name="conv" localSheetId="34">#N/A</definedName>
    <definedName name="conv" localSheetId="32">IF('Loans to staff'!Loan_Amount*'Loans to staff'!Interest_Rate*'Loans to staff'!Loan_Years*'Loans to staff'!Loan_Start&gt;0,1,0)</definedName>
    <definedName name="conv" localSheetId="35">IF('MSME 22-23'!Loan_Amount*'MSME 22-23'!Interest_Rate*'MSME 22-23'!Loan_Years*'MSME 22-23'!Loan_Start&gt;0,1,0)</definedName>
    <definedName name="conv" localSheetId="13">IF('Related Parties'!Loan_Amount*'Related Parties'!Interest_Rate*'Related Parties'!Loan_Years*'Related Parties'!Loan_Start&gt;0,1,0)</definedName>
    <definedName name="conv">#N/A</definedName>
    <definedName name="COST" localSheetId="1">#REF!</definedName>
    <definedName name="COST" localSheetId="15">#REF!</definedName>
    <definedName name="COST" localSheetId="34">#REF!</definedName>
    <definedName name="COST" localSheetId="0">#REF!</definedName>
    <definedName name="COST">#REF!</definedName>
    <definedName name="cost_calcn" localSheetId="1">#REF!</definedName>
    <definedName name="cost_calcn" localSheetId="15">#REF!</definedName>
    <definedName name="cost_calcn" localSheetId="34">#REF!</definedName>
    <definedName name="cost_calcn" localSheetId="0">#REF!</definedName>
    <definedName name="cost_calcn">#REF!</definedName>
    <definedName name="CoStatus">[24]Masters!$C$7</definedName>
    <definedName name="cpandl">[1]combined!$B$87:$N$153</definedName>
    <definedName name="Creditors_99" localSheetId="1">#REF!</definedName>
    <definedName name="Creditors_99" localSheetId="15">#REF!</definedName>
    <definedName name="Creditors_99" localSheetId="9">#REF!</definedName>
    <definedName name="Creditors_99" localSheetId="0">#REF!</definedName>
    <definedName name="Creditors_99">#REF!</definedName>
    <definedName name="Creditors_labour_99" localSheetId="1">#REF!</definedName>
    <definedName name="Creditors_labour_99" localSheetId="15">#REF!</definedName>
    <definedName name="Creditors_labour_99" localSheetId="9">#REF!</definedName>
    <definedName name="Creditors_labour_99" localSheetId="0">#REF!</definedName>
    <definedName name="Creditors_labour_99">#REF!</definedName>
    <definedName name="CSA" localSheetId="33">[37]Volumes!#REF!</definedName>
    <definedName name="CSA" localSheetId="1">[37]Volumes!#REF!</definedName>
    <definedName name="CSA" localSheetId="19">[37]Volumes!#REF!</definedName>
    <definedName name="CSA" localSheetId="15">[37]Volumes!#REF!</definedName>
    <definedName name="CSA" localSheetId="34">[37]Volumes!#REF!</definedName>
    <definedName name="CSA" localSheetId="32">[37]Volumes!#REF!</definedName>
    <definedName name="CSA" localSheetId="35">[37]Volumes!#REF!</definedName>
    <definedName name="CSA" localSheetId="0">[37]Volumes!#REF!</definedName>
    <definedName name="CSA" localSheetId="13">[37]Volumes!#REF!</definedName>
    <definedName name="CSA">[37]Volumes!#REF!</definedName>
    <definedName name="CURRDATE">#N/A</definedName>
    <definedName name="CURRDAY">#N/A</definedName>
    <definedName name="Current_Period" localSheetId="33" hidden="1">[28]Settings!$C$57</definedName>
    <definedName name="Current_Period" localSheetId="19" hidden="1">[28]Settings!$C$57</definedName>
    <definedName name="Current_Period" localSheetId="32" hidden="1">[29]Settings!$C$57</definedName>
    <definedName name="Current_Period" localSheetId="35" hidden="1">[29]Settings!$C$57</definedName>
    <definedName name="Current_Period" localSheetId="13" hidden="1">[28]Settings!$C$57</definedName>
    <definedName name="Current_Period" hidden="1">[30]Settings!$C$57</definedName>
    <definedName name="CURRSHORT">#N/A</definedName>
    <definedName name="curru">[40]Calc!$H$173</definedName>
    <definedName name="d" localSheetId="33">#REF!</definedName>
    <definedName name="d" localSheetId="1">#REF!</definedName>
    <definedName name="d" localSheetId="19">#REF!</definedName>
    <definedName name="d" localSheetId="15">#REF!</definedName>
    <definedName name="d" localSheetId="34">#REF!</definedName>
    <definedName name="d" localSheetId="32">#REF!</definedName>
    <definedName name="d" localSheetId="35">#REF!</definedName>
    <definedName name="d" localSheetId="0">#REF!</definedName>
    <definedName name="d" localSheetId="13">#REF!</definedName>
    <definedName name="d">#REF!</definedName>
    <definedName name="DATA1" localSheetId="1">#REF!</definedName>
    <definedName name="DATA1" localSheetId="15">#REF!</definedName>
    <definedName name="DATA1" localSheetId="0">#REF!</definedName>
    <definedName name="DATA1">#REF!</definedName>
    <definedName name="DATA2" localSheetId="1">#REF!</definedName>
    <definedName name="DATA2" localSheetId="15">#REF!</definedName>
    <definedName name="DATA2" localSheetId="0">#REF!</definedName>
    <definedName name="DATA2">#REF!</definedName>
    <definedName name="DATA3" localSheetId="1">#REF!</definedName>
    <definedName name="DATA3" localSheetId="15">#REF!</definedName>
    <definedName name="DATA3" localSheetId="0">#REF!</definedName>
    <definedName name="DATA3">#REF!</definedName>
    <definedName name="DATA4" localSheetId="1">#REF!</definedName>
    <definedName name="DATA4" localSheetId="15">#REF!</definedName>
    <definedName name="DATA4" localSheetId="0">#REF!</definedName>
    <definedName name="DATA4">#REF!</definedName>
    <definedName name="DATA5" localSheetId="1">#REF!</definedName>
    <definedName name="DATA5" localSheetId="15">#REF!</definedName>
    <definedName name="DATA5" localSheetId="0">#REF!</definedName>
    <definedName name="DATA5">#REF!</definedName>
    <definedName name="DATA6" localSheetId="1">#REF!</definedName>
    <definedName name="DATA6" localSheetId="15">#REF!</definedName>
    <definedName name="DATA6" localSheetId="0">#REF!</definedName>
    <definedName name="DATA6">#REF!</definedName>
    <definedName name="DATA7" localSheetId="1">#REF!</definedName>
    <definedName name="DATA7" localSheetId="15">#REF!</definedName>
    <definedName name="DATA7" localSheetId="0">#REF!</definedName>
    <definedName name="DATA7">#REF!</definedName>
    <definedName name="DATA8" localSheetId="1">#REF!</definedName>
    <definedName name="DATA8" localSheetId="15">#REF!</definedName>
    <definedName name="DATA8" localSheetId="0">#REF!</definedName>
    <definedName name="DATA8">#REF!</definedName>
    <definedName name="DATA9" localSheetId="1">#REF!</definedName>
    <definedName name="DATA9" localSheetId="15">#REF!</definedName>
    <definedName name="DATA9" localSheetId="0">#REF!</definedName>
    <definedName name="DATA9">#REF!</definedName>
    <definedName name="_xlnm.Database" localSheetId="1">#REF!</definedName>
    <definedName name="_xlnm.Database" localSheetId="15">#REF!</definedName>
    <definedName name="_xlnm.Database" localSheetId="0">#REF!</definedName>
    <definedName name="_xlnm.Database">#REF!</definedName>
    <definedName name="dd" localSheetId="3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34" hidden="1">{#N/A,#N/A,TRUE,"Sheet1"}</definedName>
    <definedName name="dd"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d"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BT" localSheetId="33">#REF!</definedName>
    <definedName name="DEBT" localSheetId="1">#REF!</definedName>
    <definedName name="DEBT" localSheetId="19">#REF!</definedName>
    <definedName name="DEBT" localSheetId="15">#REF!</definedName>
    <definedName name="DEBT" localSheetId="34">#REF!</definedName>
    <definedName name="DEBT" localSheetId="32">#REF!</definedName>
    <definedName name="DEBT" localSheetId="35">#REF!</definedName>
    <definedName name="DEBT" localSheetId="0">#REF!</definedName>
    <definedName name="DEBT" localSheetId="13">#REF!</definedName>
    <definedName name="DEBT">#REF!</definedName>
    <definedName name="DEBTOR" localSheetId="33">#REF!</definedName>
    <definedName name="DEBTOR" localSheetId="1">#REF!</definedName>
    <definedName name="DEBTOR" localSheetId="19">#REF!</definedName>
    <definedName name="DEBTOR" localSheetId="15">#REF!</definedName>
    <definedName name="DEBTOR" localSheetId="34">#REF!</definedName>
    <definedName name="DEBTOR" localSheetId="32">#REF!</definedName>
    <definedName name="DEBTOR" localSheetId="35">#REF!</definedName>
    <definedName name="DEBTOR" localSheetId="0">#REF!</definedName>
    <definedName name="DEBTOR" localSheetId="13">#REF!</definedName>
    <definedName name="DEBTOR">#REF!</definedName>
    <definedName name="DECO" localSheetId="33">#REF!</definedName>
    <definedName name="DECO" localSheetId="1">#REF!</definedName>
    <definedName name="DECO" localSheetId="19">#REF!</definedName>
    <definedName name="DECO" localSheetId="15">#REF!</definedName>
    <definedName name="DECO" localSheetId="34">#REF!</definedName>
    <definedName name="DECO" localSheetId="32">#REF!</definedName>
    <definedName name="DECO" localSheetId="35">#REF!</definedName>
    <definedName name="DECO" localSheetId="0">#REF!</definedName>
    <definedName name="DECO" localSheetId="13">#REF!</definedName>
    <definedName name="DECO">#REF!</definedName>
    <definedName name="deep">'[41]TB APJ'!$B$85</definedName>
    <definedName name="Dep" localSheetId="34"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localSheetId="3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localSheetId="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 localSheetId="33">#REF!</definedName>
    <definedName name="DEP." localSheetId="1">#REF!</definedName>
    <definedName name="DEP." localSheetId="19">#REF!</definedName>
    <definedName name="DEP." localSheetId="15">#REF!</definedName>
    <definedName name="DEP." localSheetId="34">#REF!</definedName>
    <definedName name="DEP." localSheetId="32">#REF!</definedName>
    <definedName name="DEP." localSheetId="35">#REF!</definedName>
    <definedName name="DEP." localSheetId="0">#REF!</definedName>
    <definedName name="DEP." localSheetId="13">#REF!</definedName>
    <definedName name="DEP.">#REF!</definedName>
    <definedName name="DEP_CAL2" localSheetId="33">[10]depreciation!#REF!</definedName>
    <definedName name="DEP_CAL2" localSheetId="1">[10]depreciation!#REF!</definedName>
    <definedName name="DEP_CAL2" localSheetId="19">[10]depreciation!#REF!</definedName>
    <definedName name="DEP_CAL2" localSheetId="15">[10]depreciation!#REF!</definedName>
    <definedName name="DEP_CAL2" localSheetId="34">[10]depreciation!#REF!</definedName>
    <definedName name="DEP_CAL2" localSheetId="32">[10]depreciation!#REF!</definedName>
    <definedName name="DEP_CAL2" localSheetId="35">[10]depreciation!#REF!</definedName>
    <definedName name="DEP_CAL2" localSheetId="0">[10]depreciation!#REF!</definedName>
    <definedName name="DEP_CAL2" localSheetId="13">[10]depreciation!#REF!</definedName>
    <definedName name="DEP_CAL2">[10]depreciation!#REF!</definedName>
    <definedName name="DEP_WORK1" localSheetId="33">#REF!</definedName>
    <definedName name="DEP_WORK1" localSheetId="1">#REF!</definedName>
    <definedName name="DEP_WORK1" localSheetId="19">#REF!</definedName>
    <definedName name="DEP_WORK1" localSheetId="15">#REF!</definedName>
    <definedName name="DEP_WORK1" localSheetId="34">#REF!</definedName>
    <definedName name="DEP_WORK1" localSheetId="32">#REF!</definedName>
    <definedName name="DEP_WORK1" localSheetId="35">#REF!</definedName>
    <definedName name="DEP_WORK1" localSheetId="0">#REF!</definedName>
    <definedName name="DEP_WORK1" localSheetId="13">#REF!</definedName>
    <definedName name="DEP_WORK1">#REF!</definedName>
    <definedName name="DEPRECIATION" localSheetId="1">#REF!</definedName>
    <definedName name="DEPRECIATION" localSheetId="15">#REF!</definedName>
    <definedName name="DEPRECIATION" localSheetId="0">#REF!</definedName>
    <definedName name="DEPRECIATION">#REF!</definedName>
    <definedName name="designation" localSheetId="33">#REF!</definedName>
    <definedName name="designation" localSheetId="1">#REF!</definedName>
    <definedName name="designation" localSheetId="19">#REF!</definedName>
    <definedName name="designation" localSheetId="15">#REF!</definedName>
    <definedName name="designation" localSheetId="34">#REF!</definedName>
    <definedName name="designation" localSheetId="32">#REF!</definedName>
    <definedName name="designation" localSheetId="35">#REF!</definedName>
    <definedName name="designation" localSheetId="0">#REF!</definedName>
    <definedName name="designation" localSheetId="13">#REF!</definedName>
    <definedName name="designation">#REF!</definedName>
    <definedName name="DeTotal" localSheetId="33">#REF!</definedName>
    <definedName name="DeTotal" localSheetId="1">#REF!</definedName>
    <definedName name="DeTotal" localSheetId="19">#REF!</definedName>
    <definedName name="DeTotal" localSheetId="15">#REF!</definedName>
    <definedName name="DeTotal" localSheetId="34">#REF!</definedName>
    <definedName name="DeTotal" localSheetId="32">#REF!</definedName>
    <definedName name="DeTotal" localSheetId="35">#REF!</definedName>
    <definedName name="DeTotal" localSheetId="0">#REF!</definedName>
    <definedName name="DeTotal" localSheetId="13">#REF!</definedName>
    <definedName name="DeTotal">#REF!</definedName>
    <definedName name="dfqewrewewqq" localSheetId="1">#REF!</definedName>
    <definedName name="dfqewrewewqq" localSheetId="15">#REF!</definedName>
    <definedName name="dfqewrewewqq" localSheetId="0">#REF!</definedName>
    <definedName name="dfqewrewewqq">#REF!</definedName>
    <definedName name="dfsa" localSheetId="1">#REF!</definedName>
    <definedName name="dfsa" localSheetId="15">#REF!</definedName>
    <definedName name="dfsa" localSheetId="0">#REF!</definedName>
    <definedName name="dfsa">#REF!</definedName>
    <definedName name="disbI">'[42]43b'!$H$28</definedName>
    <definedName name="disbII">'[42]43b'!$H$33</definedName>
    <definedName name="DK" localSheetId="33">IF([43]!Loan_Amount*[43]!Interest_Rate*[43]!Loan_Years*[43]!Loan_Start&gt;0,1,0)</definedName>
    <definedName name="DK" localSheetId="19">IF([43]!Loan_Amount*[43]!Interest_Rate*[43]!Loan_Years*[43]!Loan_Start&gt;0,1,0)</definedName>
    <definedName name="DK" localSheetId="32">IF([44]!Loan_Amount*[44]!Interest_Rate*[44]!Loan_Years*[44]!Loan_Start&gt;0,1,0)</definedName>
    <definedName name="DK" localSheetId="35">IF([44]!Loan_Amount*[44]!Interest_Rate*[44]!Loan_Years*[44]!Loan_Start&gt;0,1,0)</definedName>
    <definedName name="DK" localSheetId="13">IF([43]!Loan_Amount*[43]!Interest_Rate*[43]!Loan_Years*[43]!Loan_Start&gt;0,1,0)</definedName>
    <definedName name="DK">IF([45]!Loan_Amount*[45]!Interest_Rate*[45]!Loan_Years*[45]!Loan_Start&gt;0,1,0)</definedName>
    <definedName name="DM" localSheetId="33">#REF!</definedName>
    <definedName name="DM" localSheetId="1">#REF!</definedName>
    <definedName name="DM" localSheetId="19">#REF!</definedName>
    <definedName name="DM" localSheetId="15">#REF!</definedName>
    <definedName name="DM" localSheetId="34">#REF!</definedName>
    <definedName name="DM" localSheetId="32">#REF!</definedName>
    <definedName name="DM" localSheetId="35">#REF!</definedName>
    <definedName name="DM" localSheetId="0">#REF!</definedName>
    <definedName name="DM" localSheetId="13">#REF!</definedName>
    <definedName name="DM">#REF!</definedName>
    <definedName name="ds" localSheetId="1">#REF!</definedName>
    <definedName name="ds" localSheetId="15">#REF!</definedName>
    <definedName name="ds" localSheetId="0">#REF!</definedName>
    <definedName name="ds">#REF!</definedName>
    <definedName name="DSCR" localSheetId="33">#REF!</definedName>
    <definedName name="DSCR" localSheetId="1">#REF!</definedName>
    <definedName name="DSCR" localSheetId="19">#REF!</definedName>
    <definedName name="DSCR" localSheetId="15">#REF!</definedName>
    <definedName name="DSCR" localSheetId="34">#REF!</definedName>
    <definedName name="DSCR" localSheetId="32">#REF!</definedName>
    <definedName name="DSCR" localSheetId="35">#REF!</definedName>
    <definedName name="DSCR" localSheetId="0">#REF!</definedName>
    <definedName name="DSCR" localSheetId="13">#REF!</definedName>
    <definedName name="DSCR">#REF!</definedName>
    <definedName name="DSCR_4" localSheetId="33">#REF!</definedName>
    <definedName name="DSCR_4" localSheetId="1">#REF!</definedName>
    <definedName name="DSCR_4" localSheetId="19">#REF!</definedName>
    <definedName name="DSCR_4" localSheetId="15">#REF!</definedName>
    <definedName name="DSCR_4" localSheetId="34">#REF!</definedName>
    <definedName name="DSCR_4" localSheetId="32">#REF!</definedName>
    <definedName name="DSCR_4" localSheetId="35">#REF!</definedName>
    <definedName name="DSCR_4" localSheetId="0">#REF!</definedName>
    <definedName name="DSCR_4" localSheetId="13">#REF!</definedName>
    <definedName name="DSCR_4">#REF!</definedName>
    <definedName name="DSCR_5" localSheetId="33">#REF!</definedName>
    <definedName name="DSCR_5" localSheetId="1">#REF!</definedName>
    <definedName name="DSCR_5" localSheetId="19">#REF!</definedName>
    <definedName name="DSCR_5" localSheetId="15">#REF!</definedName>
    <definedName name="DSCR_5" localSheetId="34">#REF!</definedName>
    <definedName name="DSCR_5" localSheetId="32">#REF!</definedName>
    <definedName name="DSCR_5" localSheetId="35">#REF!</definedName>
    <definedName name="DSCR_5" localSheetId="0">#REF!</definedName>
    <definedName name="DSCR_5" localSheetId="13">#REF!</definedName>
    <definedName name="DSCR_5">#REF!</definedName>
    <definedName name="DSCR_6" localSheetId="33">#REF!</definedName>
    <definedName name="DSCR_6" localSheetId="1">#REF!</definedName>
    <definedName name="DSCR_6" localSheetId="19">#REF!</definedName>
    <definedName name="DSCR_6" localSheetId="15">#REF!</definedName>
    <definedName name="DSCR_6" localSheetId="34">#REF!</definedName>
    <definedName name="DSCR_6" localSheetId="32">#REF!</definedName>
    <definedName name="DSCR_6" localSheetId="35">#REF!</definedName>
    <definedName name="DSCR_6" localSheetId="0">#REF!</definedName>
    <definedName name="DSCR_6" localSheetId="13">#REF!</definedName>
    <definedName name="DSCR_6">#REF!</definedName>
    <definedName name="DSCR_7" localSheetId="33">#REF!</definedName>
    <definedName name="DSCR_7" localSheetId="1">#REF!</definedName>
    <definedName name="DSCR_7" localSheetId="19">#REF!</definedName>
    <definedName name="DSCR_7" localSheetId="15">#REF!</definedName>
    <definedName name="DSCR_7" localSheetId="34">#REF!</definedName>
    <definedName name="DSCR_7" localSheetId="32">#REF!</definedName>
    <definedName name="DSCR_7" localSheetId="35">#REF!</definedName>
    <definedName name="DSCR_7" localSheetId="0">#REF!</definedName>
    <definedName name="DSCR_7" localSheetId="13">#REF!</definedName>
    <definedName name="DSCR_7">#REF!</definedName>
    <definedName name="DSCR_8" localSheetId="33">#REF!</definedName>
    <definedName name="DSCR_8" localSheetId="1">#REF!</definedName>
    <definedName name="DSCR_8" localSheetId="19">#REF!</definedName>
    <definedName name="DSCR_8" localSheetId="15">#REF!</definedName>
    <definedName name="DSCR_8" localSheetId="34">#REF!</definedName>
    <definedName name="DSCR_8" localSheetId="32">#REF!</definedName>
    <definedName name="DSCR_8" localSheetId="35">#REF!</definedName>
    <definedName name="DSCR_8" localSheetId="0">#REF!</definedName>
    <definedName name="DSCR_8" localSheetId="13">#REF!</definedName>
    <definedName name="DSCR_8">#REF!</definedName>
    <definedName name="dsfa" localSheetId="1">'[17]TB WORLI'!#REF!</definedName>
    <definedName name="dsfa" localSheetId="15">'[17]TB WORLI'!#REF!</definedName>
    <definedName name="dsfa" localSheetId="0">'[17]TB WORLI'!#REF!</definedName>
    <definedName name="dsfa">'[17]TB WORLI'!#REF!</definedName>
    <definedName name="E">'[2]BS 590'!$C$447:$F$452</definedName>
    <definedName name="E00250_">'[18]TB APJ'!$B$67</definedName>
    <definedName name="E00251_">'[18]TB APJ'!$B$68</definedName>
    <definedName name="E00252_">[19]tb!$B$169</definedName>
    <definedName name="E00257_">'[18]TB APJ'!$B$69</definedName>
    <definedName name="E00258_">'[18]TB APJ'!$B$70</definedName>
    <definedName name="E00265_">'[18]TB APJ'!$B$71</definedName>
    <definedName name="E00266_">'[18]TB APJ'!$B$72</definedName>
    <definedName name="E00268_" localSheetId="1">'[18]TB APJ'!#REF!</definedName>
    <definedName name="E00268_" localSheetId="15">'[18]TB APJ'!#REF!</definedName>
    <definedName name="E00268_" localSheetId="9">'[18]TB APJ'!#REF!</definedName>
    <definedName name="E00268_" localSheetId="0">'[18]TB APJ'!#REF!</definedName>
    <definedName name="E00268_">'[18]TB APJ'!#REF!</definedName>
    <definedName name="E00270_" localSheetId="1">'[18]TB APJ'!#REF!</definedName>
    <definedName name="E00270_" localSheetId="15">'[18]TB APJ'!#REF!</definedName>
    <definedName name="E00270_" localSheetId="9">'[18]TB APJ'!#REF!</definedName>
    <definedName name="E00270_" localSheetId="0">'[18]TB APJ'!#REF!</definedName>
    <definedName name="E00270_">'[18]TB APJ'!#REF!</definedName>
    <definedName name="E00271_" localSheetId="1">'[17]TB APJ'!#REF!</definedName>
    <definedName name="E00271_" localSheetId="15">'[17]TB APJ'!#REF!</definedName>
    <definedName name="E00271_" localSheetId="9">'[17]TB APJ'!#REF!</definedName>
    <definedName name="E00271_" localSheetId="0">'[17]TB APJ'!#REF!</definedName>
    <definedName name="E00271_">'[17]TB APJ'!#REF!</definedName>
    <definedName name="E00277_">'[18]TB APJ'!$B$73</definedName>
    <definedName name="E00280_">[46]trialbal!$B$145</definedName>
    <definedName name="E00284_" localSheetId="1">'[18]TB APJ'!#REF!</definedName>
    <definedName name="E00284_" localSheetId="15">'[18]TB APJ'!#REF!</definedName>
    <definedName name="E00284_" localSheetId="9">'[18]TB APJ'!#REF!</definedName>
    <definedName name="E00284_" localSheetId="0">'[18]TB APJ'!#REF!</definedName>
    <definedName name="E00284_">'[18]TB APJ'!#REF!</definedName>
    <definedName name="E00285_" localSheetId="1">'[18]TB APJ'!#REF!</definedName>
    <definedName name="E00285_" localSheetId="15">'[18]TB APJ'!#REF!</definedName>
    <definedName name="E00285_" localSheetId="9">'[18]TB APJ'!#REF!</definedName>
    <definedName name="E00285_" localSheetId="0">'[18]TB APJ'!#REF!</definedName>
    <definedName name="E00285_">'[18]TB APJ'!#REF!</definedName>
    <definedName name="E00289_">'[18]TB APJ'!$B$74</definedName>
    <definedName name="E00290_">'[18]TB APJ'!$B$75</definedName>
    <definedName name="E00292_" localSheetId="1">'[18]TB APJ'!#REF!</definedName>
    <definedName name="E00292_" localSheetId="15">'[18]TB APJ'!#REF!</definedName>
    <definedName name="E00292_" localSheetId="9">'[18]TB APJ'!#REF!</definedName>
    <definedName name="E00292_" localSheetId="0">'[18]TB APJ'!#REF!</definedName>
    <definedName name="E00292_">'[18]TB APJ'!#REF!</definedName>
    <definedName name="E00294_" localSheetId="1">'[18]TB APJ'!#REF!</definedName>
    <definedName name="E00294_" localSheetId="15">'[18]TB APJ'!#REF!</definedName>
    <definedName name="E00294_" localSheetId="9">'[18]TB APJ'!#REF!</definedName>
    <definedName name="E00294_" localSheetId="0">'[18]TB APJ'!#REF!</definedName>
    <definedName name="E00294_">'[18]TB APJ'!#REF!</definedName>
    <definedName name="E00295_" localSheetId="1">'[18]TB APJ'!#REF!</definedName>
    <definedName name="E00295_" localSheetId="15">'[18]TB APJ'!#REF!</definedName>
    <definedName name="E00295_" localSheetId="9">'[18]TB APJ'!#REF!</definedName>
    <definedName name="E00295_" localSheetId="0">'[18]TB APJ'!#REF!</definedName>
    <definedName name="E00295_">'[18]TB APJ'!#REF!</definedName>
    <definedName name="E00296_">'[18]TB APJ'!$B$76</definedName>
    <definedName name="E00297_">'[18]TB APJ'!$B$77</definedName>
    <definedName name="E00298_" localSheetId="1">'[18]TB APJ'!#REF!</definedName>
    <definedName name="E00298_" localSheetId="15">'[18]TB APJ'!#REF!</definedName>
    <definedName name="E00298_" localSheetId="9">'[18]TB APJ'!#REF!</definedName>
    <definedName name="E00298_" localSheetId="0">'[18]TB APJ'!#REF!</definedName>
    <definedName name="E00298_">'[18]TB APJ'!#REF!</definedName>
    <definedName name="E00299_">'[18]TB APJ'!$B$78</definedName>
    <definedName name="E00300_">'[18]TB APJ'!$B$79</definedName>
    <definedName name="E00301_">'[18]TB APJ'!$B$80</definedName>
    <definedName name="E00302_" localSheetId="1">'[18]TB APJ'!#REF!</definedName>
    <definedName name="E00302_" localSheetId="15">'[18]TB APJ'!#REF!</definedName>
    <definedName name="E00302_" localSheetId="9">'[18]TB APJ'!#REF!</definedName>
    <definedName name="E00302_" localSheetId="0">'[18]TB APJ'!#REF!</definedName>
    <definedName name="E00302_">'[18]TB APJ'!#REF!</definedName>
    <definedName name="E00303_" localSheetId="1">'[17]TB APJ'!#REF!</definedName>
    <definedName name="E00303_" localSheetId="15">'[17]TB APJ'!#REF!</definedName>
    <definedName name="E00303_" localSheetId="9">'[17]TB APJ'!#REF!</definedName>
    <definedName name="E00303_" localSheetId="0">'[17]TB APJ'!#REF!</definedName>
    <definedName name="E00303_">'[17]TB APJ'!#REF!</definedName>
    <definedName name="E00305_" localSheetId="1">'[18]TB APJ'!#REF!</definedName>
    <definedName name="E00305_" localSheetId="15">'[18]TB APJ'!#REF!</definedName>
    <definedName name="E00305_" localSheetId="9">'[18]TB APJ'!#REF!</definedName>
    <definedName name="E00305_" localSheetId="0">'[18]TB APJ'!#REF!</definedName>
    <definedName name="E00305_">'[18]TB APJ'!#REF!</definedName>
    <definedName name="E00308_">'[18]TB APJ'!$B$81</definedName>
    <definedName name="E00313_">'[18]TB APJ'!$B$83</definedName>
    <definedName name="E00316_">'[18]TB APJ'!$B$84</definedName>
    <definedName name="E00320_">'[18]TB APJ'!$B$85</definedName>
    <definedName name="E00321_">'[18]TB APJ'!$B$86</definedName>
    <definedName name="E00322_">'[18]TB APJ'!$B$87</definedName>
    <definedName name="E00323_">'[18]TB APJ'!$B$88</definedName>
    <definedName name="E00324_">'[18]TB APJ'!$B$89</definedName>
    <definedName name="E00325_">'[18]TB APJ'!$B$90</definedName>
    <definedName name="E00326_">'[18]TB APJ'!$B$91</definedName>
    <definedName name="E00327_">'[18]TB APJ'!$B$92</definedName>
    <definedName name="E00328_">'[18]TB APJ'!$B$93</definedName>
    <definedName name="E00329_">'[18]TB APJ'!$B$94</definedName>
    <definedName name="E00330_">'[18]TB APJ'!$B$95</definedName>
    <definedName name="E00331_">'[41]TB APJ'!$B$67</definedName>
    <definedName name="E0158_">'[18]TB APJ'!$B$96</definedName>
    <definedName name="E0159_">'[18]TB APJ'!$B$97</definedName>
    <definedName name="E0160_" localSheetId="1">'[17]TB WORLI'!#REF!</definedName>
    <definedName name="E0160_" localSheetId="15">'[17]TB WORLI'!#REF!</definedName>
    <definedName name="E0160_" localSheetId="9">'[17]TB WORLI'!#REF!</definedName>
    <definedName name="E0160_" localSheetId="0">'[17]TB WORLI'!#REF!</definedName>
    <definedName name="E0160_">'[17]TB WORLI'!#REF!</definedName>
    <definedName name="E0161_">'[18]TB APJ'!$B$98</definedName>
    <definedName name="E0162_">'[18]TB APJ'!$B$99</definedName>
    <definedName name="E0164_">'[18]TB APJ'!$B$100</definedName>
    <definedName name="E0165_">'[18]TB APJ'!$B$101</definedName>
    <definedName name="E0168_">'[18]TB APJ'!$B$102</definedName>
    <definedName name="E0169_">'[18]TB APJ'!$B$103</definedName>
    <definedName name="E0170_">'[18]TB APJ'!$B$104</definedName>
    <definedName name="E0171_" localSheetId="1">'[18]TB APJ'!#REF!</definedName>
    <definedName name="E0171_" localSheetId="15">'[18]TB APJ'!#REF!</definedName>
    <definedName name="E0171_" localSheetId="9">'[18]TB APJ'!#REF!</definedName>
    <definedName name="E0171_" localSheetId="0">'[18]TB APJ'!#REF!</definedName>
    <definedName name="E0171_">'[18]TB APJ'!#REF!</definedName>
    <definedName name="E0172_">'[18]TB APJ'!$B$367</definedName>
    <definedName name="E0173_">'[18]TB APJ'!$B$105</definedName>
    <definedName name="E0174_">'[18]TB APJ'!$B$106</definedName>
    <definedName name="E0175_" localSheetId="1">'[18]TB APJ'!#REF!</definedName>
    <definedName name="E0175_" localSheetId="15">'[18]TB APJ'!#REF!</definedName>
    <definedName name="E0175_" localSheetId="9">'[18]TB APJ'!#REF!</definedName>
    <definedName name="E0175_" localSheetId="0">'[18]TB APJ'!#REF!</definedName>
    <definedName name="E0175_">'[18]TB APJ'!#REF!</definedName>
    <definedName name="E0177_">'[18]TB APJ'!$B$107</definedName>
    <definedName name="E0178_">'[18]TB APJ'!$B$108</definedName>
    <definedName name="E0179_">'[18]TB APJ'!$B$109</definedName>
    <definedName name="E0180_">'[18]TB APJ'!$B$110</definedName>
    <definedName name="E0181_">'[18]TB APJ'!$B$111</definedName>
    <definedName name="E0183_">'[18]TB APJ'!$B$112</definedName>
    <definedName name="E0184_">'[18]TB APJ'!$B$113</definedName>
    <definedName name="E0186_">'[18]TB APJ'!$B$114</definedName>
    <definedName name="E0187_">'[18]TB APJ'!$B$115</definedName>
    <definedName name="E0188_" localSheetId="1">'[18]TB APJ'!#REF!</definedName>
    <definedName name="E0188_" localSheetId="15">'[18]TB APJ'!#REF!</definedName>
    <definedName name="E0188_" localSheetId="9">'[18]TB APJ'!#REF!</definedName>
    <definedName name="E0188_" localSheetId="0">'[18]TB APJ'!#REF!</definedName>
    <definedName name="E0188_">'[18]TB APJ'!#REF!</definedName>
    <definedName name="E0189_">'[18]TB APJ'!$B$116</definedName>
    <definedName name="E0190_">'[18]TB APJ'!$B$117</definedName>
    <definedName name="E0196_">'[18]TB APJ'!$B$118</definedName>
    <definedName name="E0197_" localSheetId="1">'[18]TB APJ'!#REF!</definedName>
    <definedName name="E0197_" localSheetId="15">'[18]TB APJ'!#REF!</definedName>
    <definedName name="E0197_" localSheetId="9">'[18]TB APJ'!#REF!</definedName>
    <definedName name="E0197_" localSheetId="0">'[18]TB APJ'!#REF!</definedName>
    <definedName name="E0197_">'[18]TB APJ'!#REF!</definedName>
    <definedName name="E0201_">'[18]TB APJ'!$B$281</definedName>
    <definedName name="e0201a">[47]TB!$B$185</definedName>
    <definedName name="E0202_">'[18]TB APJ'!$B$369</definedName>
    <definedName name="E0203_">'[18]TB APJ'!$B$119</definedName>
    <definedName name="E0204_">'[18]TB APJ'!$B$120</definedName>
    <definedName name="E0209_">'[18]TB APJ'!$B$121</definedName>
    <definedName name="E0210_">'[18]TB APJ'!$B$122</definedName>
    <definedName name="E0211_">'[18]TB APJ'!$B$123</definedName>
    <definedName name="E0212_">'[18]TB APJ'!$B$124</definedName>
    <definedName name="E0214_">'[18]TB APJ'!$B$125</definedName>
    <definedName name="E0215_">'[18]TB APJ'!$B$244</definedName>
    <definedName name="E0218_">'[18]TB APJ'!$B$126</definedName>
    <definedName name="E0219_">'[18]TB APJ'!$B$127</definedName>
    <definedName name="E0220_">'[18]TB APJ'!$B$128</definedName>
    <definedName name="E0221_">'[18]TB APJ'!$B$129</definedName>
    <definedName name="E0222_">'[18]TB APJ'!$B$130</definedName>
    <definedName name="E0225_">'[18]TB APJ'!$B$131</definedName>
    <definedName name="E0226_">'[18]TB APJ'!$B$132</definedName>
    <definedName name="E0227_">'[18]TB APJ'!$B$133</definedName>
    <definedName name="E0228_">'[18]TB APJ'!$B$134</definedName>
    <definedName name="E0230_">'[18]TB APJ'!$B$135</definedName>
    <definedName name="E0231_">'[18]TB APJ'!$B$136</definedName>
    <definedName name="E0233_">'[18]TB APJ'!$B$137</definedName>
    <definedName name="E0234_">'[18]TB APJ'!$B$138</definedName>
    <definedName name="E0235_">'[18]TB APJ'!$B$139</definedName>
    <definedName name="E0237_" localSheetId="1">'[18]TB APJ'!#REF!</definedName>
    <definedName name="E0237_" localSheetId="15">'[18]TB APJ'!#REF!</definedName>
    <definedName name="E0237_" localSheetId="9">'[18]TB APJ'!#REF!</definedName>
    <definedName name="E0237_" localSheetId="0">'[18]TB APJ'!#REF!</definedName>
    <definedName name="E0237_">'[18]TB APJ'!#REF!</definedName>
    <definedName name="E0238_">'[18]TB APJ'!$B$140</definedName>
    <definedName name="E0239_">'[18]TB APJ'!$B$141</definedName>
    <definedName name="E0240_">'[18]TB APJ'!$B$245</definedName>
    <definedName name="E0241_">'[18]TB APJ'!$B$142</definedName>
    <definedName name="E0242_">'[18]TB APJ'!$B$143</definedName>
    <definedName name="E0243_">'[18]TB APJ'!$B$144</definedName>
    <definedName name="E0245_">'[18]TB APJ'!$B$145</definedName>
    <definedName name="E0246_">'[18]TB APJ'!$B$250</definedName>
    <definedName name="E0247_">'[18]TB APJ'!$B$146</definedName>
    <definedName name="eeeeeeee" localSheetId="34" hidden="1">{#N/A,#N/A,TRUE,"Sheet1"}</definedName>
    <definedName name="eeeeeeee" localSheetId="32" hidden="1">{#N/A,#N/A,TRUE,"Sheet1"}</definedName>
    <definedName name="eeeeeeee" localSheetId="9" hidden="1">{#N/A,#N/A,TRUE,"Sheet1"}</definedName>
    <definedName name="eeeeeeee" localSheetId="0" hidden="1">{#N/A,#N/A,TRUE,"Sheet1"}</definedName>
    <definedName name="eeeeeeee" hidden="1">{#N/A,#N/A,TRUE,"Sheet1"}</definedName>
    <definedName name="EmployeeNIRate">0.11</definedName>
    <definedName name="EmployerNIRate">0.128</definedName>
    <definedName name="End_Bal" localSheetId="33">'[48]Loan Amortization Schedule'!$I$18:$I$377</definedName>
    <definedName name="End_Bal" localSheetId="19">'[48]Loan Amortization Schedule'!$I$18:$I$377</definedName>
    <definedName name="End_Bal" localSheetId="32">'[49]Loan Amortization Schedule'!$I$18:$I$377</definedName>
    <definedName name="End_Bal" localSheetId="35">'[49]Loan Amortization Schedule'!$I$18:$I$377</definedName>
    <definedName name="End_Bal" localSheetId="13">'[48]Loan Amortization Schedule'!$I$18:$I$377</definedName>
    <definedName name="End_Bal">'[50]Loan Amortization Schedule'!$I$18:$I$377</definedName>
    <definedName name="Equipment" localSheetId="33">#REF!</definedName>
    <definedName name="Equipment" localSheetId="1">#REF!</definedName>
    <definedName name="Equipment" localSheetId="19">#REF!</definedName>
    <definedName name="Equipment" localSheetId="15">#REF!</definedName>
    <definedName name="Equipment" localSheetId="34">#REF!</definedName>
    <definedName name="Equipment" localSheetId="32">#REF!</definedName>
    <definedName name="Equipment" localSheetId="35">#REF!</definedName>
    <definedName name="Equipment" localSheetId="0">#REF!</definedName>
    <definedName name="Equipment" localSheetId="13">#REF!</definedName>
    <definedName name="Equipment">#REF!</definedName>
    <definedName name="ewrdwe">'[41]TB APJ'!$B$196</definedName>
    <definedName name="ExcelData\Tax\Tax3cd.xls" localSheetId="1">#REF!</definedName>
    <definedName name="ExcelData\Tax\Tax3cd.xls" localSheetId="15">#REF!</definedName>
    <definedName name="ExcelData\Tax\Tax3cd.xls" localSheetId="34">#REF!</definedName>
    <definedName name="ExcelData\Tax\Tax3cd.xls" localSheetId="0">#REF!</definedName>
    <definedName name="ExcelData\Tax\Tax3cd.xls">#REF!</definedName>
    <definedName name="exchange">'[51]exchange fluctuation'!$U$178:$AA$212</definedName>
    <definedName name="ExemptSection">"249A(1)"</definedName>
    <definedName name="exp_rec_99" localSheetId="1">#REF!</definedName>
    <definedName name="exp_rec_99" localSheetId="15">#REF!</definedName>
    <definedName name="exp_rec_99" localSheetId="9">#REF!</definedName>
    <definedName name="exp_rec_99" localSheetId="0">#REF!</definedName>
    <definedName name="exp_rec_99">#REF!</definedName>
    <definedName name="f" localSheetId="33">#REF!</definedName>
    <definedName name="f" localSheetId="1">#REF!</definedName>
    <definedName name="f" localSheetId="19">#REF!</definedName>
    <definedName name="f" localSheetId="15">#REF!</definedName>
    <definedName name="f" localSheetId="34">#REF!</definedName>
    <definedName name="f" localSheetId="32">#REF!</definedName>
    <definedName name="f" localSheetId="35">#REF!</definedName>
    <definedName name="f" localSheetId="0">#REF!</definedName>
    <definedName name="f" localSheetId="13">#REF!</definedName>
    <definedName name="f">#REF!</definedName>
    <definedName name="FA" localSheetId="1">#REF!</definedName>
    <definedName name="FA" localSheetId="15">#REF!</definedName>
    <definedName name="FA" localSheetId="0">#REF!</definedName>
    <definedName name="FA">#REF!</definedName>
    <definedName name="fbt">'[2]BS 590'!$B$388:$G$427</definedName>
    <definedName name="fdsa" localSheetId="1">#REF!</definedName>
    <definedName name="fdsa" localSheetId="15">#REF!</definedName>
    <definedName name="fdsa" localSheetId="9">#REF!</definedName>
    <definedName name="fdsa" localSheetId="0">#REF!</definedName>
    <definedName name="fdsa">#REF!</definedName>
    <definedName name="FIRSTDATE">#N/A</definedName>
    <definedName name="FIRSTDAY">#N/A</definedName>
    <definedName name="FirstDays" localSheetId="33">#REF!</definedName>
    <definedName name="FirstDays" localSheetId="1">#REF!</definedName>
    <definedName name="FirstDays" localSheetId="19">#REF!</definedName>
    <definedName name="FirstDays" localSheetId="15">#REF!</definedName>
    <definedName name="FirstDays" localSheetId="34">#REF!</definedName>
    <definedName name="FirstDays" localSheetId="32">#REF!</definedName>
    <definedName name="FirstDays" localSheetId="35">#REF!</definedName>
    <definedName name="FirstDays" localSheetId="0">#REF!</definedName>
    <definedName name="FirstDays" localSheetId="13">#REF!</definedName>
    <definedName name="FirstDays">#REF!</definedName>
    <definedName name="FirstDaysSub">OFFSET([31]Summary!$C$73:$C$84,0,0,'[31]VAT return'!$E$6,1)</definedName>
    <definedName name="FIRSTSHORT">#N/A</definedName>
    <definedName name="Frtout" localSheetId="33">[37]Volumes!#REF!</definedName>
    <definedName name="Frtout" localSheetId="1">[37]Volumes!#REF!</definedName>
    <definedName name="Frtout" localSheetId="19">[37]Volumes!#REF!</definedName>
    <definedName name="Frtout" localSheetId="15">[37]Volumes!#REF!</definedName>
    <definedName name="Frtout" localSheetId="34">[37]Volumes!#REF!</definedName>
    <definedName name="Frtout" localSheetId="32">[37]Volumes!#REF!</definedName>
    <definedName name="Frtout" localSheetId="35">[37]Volumes!#REF!</definedName>
    <definedName name="Frtout" localSheetId="0">[37]Volumes!#REF!</definedName>
    <definedName name="Frtout" localSheetId="13">[37]Volumes!#REF!</definedName>
    <definedName name="Frtout">[37]Volumes!#REF!</definedName>
    <definedName name="fsd" localSheetId="1">#REF!</definedName>
    <definedName name="fsd" localSheetId="15">#REF!</definedName>
    <definedName name="fsd" localSheetId="34">#REF!</definedName>
    <definedName name="fsd" localSheetId="0">#REF!</definedName>
    <definedName name="fsd">#REF!</definedName>
    <definedName name="fsda" localSheetId="1">'[17]TB WORLI'!#REF!</definedName>
    <definedName name="fsda" localSheetId="15">'[17]TB WORLI'!#REF!</definedName>
    <definedName name="fsda" localSheetId="34">'[17]TB WORLI'!#REF!</definedName>
    <definedName name="fsda" localSheetId="0">'[17]TB WORLI'!#REF!</definedName>
    <definedName name="fsda">'[17]TB WORLI'!#REF!</definedName>
    <definedName name="FUNDFLOW" localSheetId="33">#REF!</definedName>
    <definedName name="FUNDFLOW" localSheetId="1">#REF!</definedName>
    <definedName name="FUNDFLOW" localSheetId="19">#REF!</definedName>
    <definedName name="FUNDFLOW" localSheetId="15">#REF!</definedName>
    <definedName name="FUNDFLOW" localSheetId="34">#REF!</definedName>
    <definedName name="FUNDFLOW" localSheetId="32">#REF!</definedName>
    <definedName name="FUNDFLOW" localSheetId="35">#REF!</definedName>
    <definedName name="FUNDFLOW" localSheetId="0">#REF!</definedName>
    <definedName name="FUNDFLOW" localSheetId="13">#REF!</definedName>
    <definedName name="FUNDFLOW">#REF!</definedName>
    <definedName name="FUNDFLOW_4" localSheetId="33">#REF!</definedName>
    <definedName name="FUNDFLOW_4" localSheetId="1">#REF!</definedName>
    <definedName name="FUNDFLOW_4" localSheetId="19">#REF!</definedName>
    <definedName name="FUNDFLOW_4" localSheetId="15">#REF!</definedName>
    <definedName name="FUNDFLOW_4" localSheetId="34">#REF!</definedName>
    <definedName name="FUNDFLOW_4" localSheetId="32">#REF!</definedName>
    <definedName name="FUNDFLOW_4" localSheetId="35">#REF!</definedName>
    <definedName name="FUNDFLOW_4" localSheetId="0">#REF!</definedName>
    <definedName name="FUNDFLOW_4" localSheetId="13">#REF!</definedName>
    <definedName name="FUNDFLOW_4">#REF!</definedName>
    <definedName name="FUNDFLOW_5" localSheetId="33">#REF!</definedName>
    <definedName name="FUNDFLOW_5" localSheetId="1">#REF!</definedName>
    <definedName name="FUNDFLOW_5" localSheetId="19">#REF!</definedName>
    <definedName name="FUNDFLOW_5" localSheetId="15">#REF!</definedName>
    <definedName name="FUNDFLOW_5" localSheetId="34">#REF!</definedName>
    <definedName name="FUNDFLOW_5" localSheetId="32">#REF!</definedName>
    <definedName name="FUNDFLOW_5" localSheetId="35">#REF!</definedName>
    <definedName name="FUNDFLOW_5" localSheetId="0">#REF!</definedName>
    <definedName name="FUNDFLOW_5" localSheetId="13">#REF!</definedName>
    <definedName name="FUNDFLOW_5">#REF!</definedName>
    <definedName name="FUNDFLOW_6" localSheetId="33">#REF!</definedName>
    <definedName name="FUNDFLOW_6" localSheetId="1">#REF!</definedName>
    <definedName name="FUNDFLOW_6" localSheetId="19">#REF!</definedName>
    <definedName name="FUNDFLOW_6" localSheetId="15">#REF!</definedName>
    <definedName name="FUNDFLOW_6" localSheetId="34">#REF!</definedName>
    <definedName name="FUNDFLOW_6" localSheetId="32">#REF!</definedName>
    <definedName name="FUNDFLOW_6" localSheetId="35">#REF!</definedName>
    <definedName name="FUNDFLOW_6" localSheetId="0">#REF!</definedName>
    <definedName name="FUNDFLOW_6" localSheetId="13">#REF!</definedName>
    <definedName name="FUNDFLOW_6">#REF!</definedName>
    <definedName name="FUNDFLOW_7" localSheetId="33">#REF!</definedName>
    <definedName name="FUNDFLOW_7" localSheetId="1">#REF!</definedName>
    <definedName name="FUNDFLOW_7" localSheetId="19">#REF!</definedName>
    <definedName name="FUNDFLOW_7" localSheetId="15">#REF!</definedName>
    <definedName name="FUNDFLOW_7" localSheetId="34">#REF!</definedName>
    <definedName name="FUNDFLOW_7" localSheetId="32">#REF!</definedName>
    <definedName name="FUNDFLOW_7" localSheetId="35">#REF!</definedName>
    <definedName name="FUNDFLOW_7" localSheetId="0">#REF!</definedName>
    <definedName name="FUNDFLOW_7" localSheetId="13">#REF!</definedName>
    <definedName name="FUNDFLOW_7">#REF!</definedName>
    <definedName name="FUNDFLOW_8" localSheetId="33">#REF!</definedName>
    <definedName name="FUNDFLOW_8" localSheetId="1">#REF!</definedName>
    <definedName name="FUNDFLOW_8" localSheetId="19">#REF!</definedName>
    <definedName name="FUNDFLOW_8" localSheetId="15">#REF!</definedName>
    <definedName name="FUNDFLOW_8" localSheetId="34">#REF!</definedName>
    <definedName name="FUNDFLOW_8" localSheetId="32">#REF!</definedName>
    <definedName name="FUNDFLOW_8" localSheetId="35">#REF!</definedName>
    <definedName name="FUNDFLOW_8" localSheetId="0">#REF!</definedName>
    <definedName name="FUNDFLOW_8" localSheetId="13">#REF!</definedName>
    <definedName name="FUNDFLOW_8">#REF!</definedName>
    <definedName name="furniture" localSheetId="33">#REF!</definedName>
    <definedName name="furniture" localSheetId="1">#REF!</definedName>
    <definedName name="furniture" localSheetId="19">#REF!</definedName>
    <definedName name="furniture" localSheetId="15">#REF!</definedName>
    <definedName name="furniture" localSheetId="34">#REF!</definedName>
    <definedName name="furniture" localSheetId="32">#REF!</definedName>
    <definedName name="furniture" localSheetId="35">#REF!</definedName>
    <definedName name="furniture" localSheetId="0">#REF!</definedName>
    <definedName name="furniture" localSheetId="13">#REF!</definedName>
    <definedName name="furniture">#REF!</definedName>
    <definedName name="FY" localSheetId="33">#REF!</definedName>
    <definedName name="FY" localSheetId="1">#REF!</definedName>
    <definedName name="FY" localSheetId="19">#REF!</definedName>
    <definedName name="FY" localSheetId="15">#REF!</definedName>
    <definedName name="FY" localSheetId="34">#REF!</definedName>
    <definedName name="FY" localSheetId="32">#REF!</definedName>
    <definedName name="FY" localSheetId="35">#REF!</definedName>
    <definedName name="FY" localSheetId="0">#REF!</definedName>
    <definedName name="FY" localSheetId="13">#REF!</definedName>
    <definedName name="FY">#REF!</definedName>
    <definedName name="g" localSheetId="33">#REF!</definedName>
    <definedName name="g" localSheetId="1">#REF!</definedName>
    <definedName name="g" localSheetId="19">#REF!</definedName>
    <definedName name="g" localSheetId="15">#REF!</definedName>
    <definedName name="g" localSheetId="34">#REF!</definedName>
    <definedName name="g" localSheetId="32">#REF!</definedName>
    <definedName name="g" localSheetId="35">#REF!</definedName>
    <definedName name="g" localSheetId="0">#REF!</definedName>
    <definedName name="g" localSheetId="13">#REF!</definedName>
    <definedName name="g">#REF!</definedName>
    <definedName name="gggfgg" localSheetId="33">#REF!</definedName>
    <definedName name="gggfgg" localSheetId="1">#REF!</definedName>
    <definedName name="gggfgg" localSheetId="19">#REF!</definedName>
    <definedName name="gggfgg" localSheetId="15">#REF!</definedName>
    <definedName name="gggfgg" localSheetId="34">#REF!</definedName>
    <definedName name="gggfgg" localSheetId="32">#REF!</definedName>
    <definedName name="gggfgg" localSheetId="35">#REF!</definedName>
    <definedName name="gggfgg" localSheetId="0">#REF!</definedName>
    <definedName name="gggfgg" localSheetId="13">#REF!</definedName>
    <definedName name="gggfgg">#REF!</definedName>
    <definedName name="gggggg" localSheetId="1">#REF!</definedName>
    <definedName name="gggggg" localSheetId="15">#REF!</definedName>
    <definedName name="gggggg" localSheetId="0">#REF!</definedName>
    <definedName name="gggggg">#REF!</definedName>
    <definedName name="ghj" localSheetId="1">#REF!</definedName>
    <definedName name="ghj" localSheetId="15">#REF!</definedName>
    <definedName name="ghj" localSheetId="0">#REF!</definedName>
    <definedName name="ghj">#REF!</definedName>
    <definedName name="GovtOthers" localSheetId="33">[20]Form!$V$18</definedName>
    <definedName name="GovtOthers" localSheetId="19">[20]Form!$V$18</definedName>
    <definedName name="GovtOthers" localSheetId="32">[21]Form!$V$18</definedName>
    <definedName name="GovtOthers" localSheetId="35">[21]Form!$V$18</definedName>
    <definedName name="GovtOthers" localSheetId="13">[20]Form!$V$18</definedName>
    <definedName name="GovtOthers">[22]Form!$V$18</definedName>
    <definedName name="Graph1">'[52]JOB WORK'!$G$4:$M$35</definedName>
    <definedName name="Graph2">'[52]JOB WORK'!$U$1253:$AA$1287</definedName>
    <definedName name="Graph3">'[52]JOB WORK'!$M$1355:$V$1402</definedName>
    <definedName name="Graph4">'[52]JOB WORK'!$P$1405:$AA$1432</definedName>
    <definedName name="gross_block_99" localSheetId="1">#REF!</definedName>
    <definedName name="gross_block_99" localSheetId="15">#REF!</definedName>
    <definedName name="gross_block_99" localSheetId="34">#REF!</definedName>
    <definedName name="gross_block_99" localSheetId="0">#REF!</definedName>
    <definedName name="gross_block_99">#REF!</definedName>
    <definedName name="Gross_Margin___Rs_M" localSheetId="1">#REF!</definedName>
    <definedName name="Gross_Margin___Rs_M" localSheetId="15">#REF!</definedName>
    <definedName name="Gross_Margin___Rs_M" localSheetId="34">#REF!</definedName>
    <definedName name="Gross_Margin___Rs_M" localSheetId="0">#REF!</definedName>
    <definedName name="Gross_Margin___Rs_M">#REF!</definedName>
    <definedName name="gross_sales" localSheetId="1">#REF!</definedName>
    <definedName name="gross_sales" localSheetId="15">#REF!</definedName>
    <definedName name="gross_sales" localSheetId="34">#REF!</definedName>
    <definedName name="gross_sales" localSheetId="0">#REF!</definedName>
    <definedName name="gross_sales">#REF!</definedName>
    <definedName name="gross_sales_98" localSheetId="1">#REF!</definedName>
    <definedName name="gross_sales_98" localSheetId="15">#REF!</definedName>
    <definedName name="gross_sales_98" localSheetId="0">#REF!</definedName>
    <definedName name="gross_sales_98">#REF!</definedName>
    <definedName name="gross_sales_99" localSheetId="1">#REF!</definedName>
    <definedName name="gross_sales_99" localSheetId="15">#REF!</definedName>
    <definedName name="gross_sales_99" localSheetId="0">#REF!</definedName>
    <definedName name="gross_sales_99">#REF!</definedName>
    <definedName name="Group1">[40]Calc!$H$174</definedName>
    <definedName name="Group10">[40]Calc!$H$183</definedName>
    <definedName name="Group2">[40]Calc!$H$175</definedName>
    <definedName name="Group3">[40]Calc!$H$176</definedName>
    <definedName name="Group4">[40]Calc!$H$177</definedName>
    <definedName name="Group5">[40]Calc!$H$178</definedName>
    <definedName name="Group6">[40]Calc!$H$179</definedName>
    <definedName name="Group7">[40]Calc!$H$180</definedName>
    <definedName name="Group8">[40]Calc!$H$181</definedName>
    <definedName name="Group9">[40]Calc!$H$182</definedName>
    <definedName name="GRPI" localSheetId="33">'[4]BS&amp;PLA'!#REF!</definedName>
    <definedName name="GRPI" localSheetId="1">'[4]BS&amp;PLA'!#REF!</definedName>
    <definedName name="GRPI" localSheetId="19">'[4]BS&amp;PLA'!#REF!</definedName>
    <definedName name="GRPI" localSheetId="15">'[4]BS&amp;PLA'!#REF!</definedName>
    <definedName name="GRPI" localSheetId="34">'[4]BS&amp;PLA'!#REF!</definedName>
    <definedName name="GRPI" localSheetId="32">'[4]BS&amp;PLA'!#REF!</definedName>
    <definedName name="GRPI" localSheetId="35">'[4]BS&amp;PLA'!#REF!</definedName>
    <definedName name="GRPI" localSheetId="0">'[4]BS&amp;PLA'!#REF!</definedName>
    <definedName name="GRPI" localSheetId="13">'[4]BS&amp;PLA'!#REF!</definedName>
    <definedName name="GRPI">'[4]BS&amp;PLA'!#REF!</definedName>
    <definedName name="grrp2">'[53]BS &amp; Pr &amp; Loss'!$B$434:$D$554</definedName>
    <definedName name="h" localSheetId="33">#REF!</definedName>
    <definedName name="h" localSheetId="1">#REF!</definedName>
    <definedName name="h" localSheetId="19">#REF!</definedName>
    <definedName name="h" localSheetId="15">#REF!</definedName>
    <definedName name="h" localSheetId="34">#REF!</definedName>
    <definedName name="h" localSheetId="32">#REF!</definedName>
    <definedName name="h" localSheetId="35">#REF!</definedName>
    <definedName name="h" localSheetId="0">#REF!</definedName>
    <definedName name="h" localSheetId="13">#REF!</definedName>
    <definedName name="h">#REF!</definedName>
    <definedName name="Header_Row" localSheetId="33">ROW('[48]Loan Amortization Schedule'!$17:$17)</definedName>
    <definedName name="Header_Row" localSheetId="19">ROW('[48]Loan Amortization Schedule'!$17:$17)</definedName>
    <definedName name="Header_Row" localSheetId="32">ROW('[49]Loan Amortization Schedule'!$17:$17)</definedName>
    <definedName name="Header_Row" localSheetId="35">ROW('[49]Loan Amortization Schedule'!$17:$17)</definedName>
    <definedName name="Header_Row" localSheetId="13">ROW('[48]Loan Amortization Schedule'!$17:$17)</definedName>
    <definedName name="Header_Row">ROW('[50]Loan Amortization Schedule'!$17:$17)</definedName>
    <definedName name="hh" localSheetId="34" hidden="1">{#N/A,#N/A,TRUE,"Sheet1"}</definedName>
    <definedName name="hh" localSheetId="32" hidden="1">{#N/A,#N/A,TRUE,"Sheet1"}</definedName>
    <definedName name="hh" localSheetId="9" hidden="1">{#N/A,#N/A,TRUE,"Sheet1"}</definedName>
    <definedName name="hh" localSheetId="0" hidden="1">{#N/A,#N/A,TRUE,"Sheet1"}</definedName>
    <definedName name="hh" hidden="1">{#N/A,#N/A,TRUE,"Sheet1"}</definedName>
    <definedName name="HHC">'[54]80HHC- final'!$B$3:$I$70</definedName>
    <definedName name="hhh" localSheetId="3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localSheetId="32"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localSheetId="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localSheetId="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hh"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HigherRate">0.4</definedName>
    <definedName name="HigherRateThreshold">29900</definedName>
    <definedName name="HTML_CodePage" hidden="1">1252</definedName>
    <definedName name="HTML_OBDlg2" hidden="1">FALSE</definedName>
    <definedName name="HTML_OBDlg3" hidden="1">TRUE</definedName>
    <definedName name="HTML_OBDlg4" hidden="1">TRUE</definedName>
    <definedName name="HTML_OS" hidden="1">0</definedName>
    <definedName name="HTML_PathFile" hidden="1">"C:\infac\pricewth\Aug99\Page06e.htm"</definedName>
    <definedName name="HTML_PathTemplate" hidden="1">"C:\infac\pricewth\Aug99\Page06e.htm"</definedName>
    <definedName name="I" localSheetId="33">#REF!</definedName>
    <definedName name="I" localSheetId="1">#REF!</definedName>
    <definedName name="I" localSheetId="19">#REF!</definedName>
    <definedName name="I" localSheetId="15">#REF!</definedName>
    <definedName name="I" localSheetId="34">#REF!</definedName>
    <definedName name="I" localSheetId="32">#REF!</definedName>
    <definedName name="I" localSheetId="35">#REF!</definedName>
    <definedName name="I" localSheetId="0">#REF!</definedName>
    <definedName name="I" localSheetId="13">#REF!</definedName>
    <definedName name="I">#REF!</definedName>
    <definedName name="I00292_" localSheetId="1">'[18]TB APJ'!#REF!</definedName>
    <definedName name="I00292_" localSheetId="15">'[18]TB APJ'!#REF!</definedName>
    <definedName name="I00292_" localSheetId="34">'[18]TB APJ'!#REF!</definedName>
    <definedName name="I00292_" localSheetId="9">'[18]TB APJ'!#REF!</definedName>
    <definedName name="I00292_" localSheetId="0">'[18]TB APJ'!#REF!</definedName>
    <definedName name="I00292_">'[18]TB APJ'!#REF!</definedName>
    <definedName name="I00294_">'[18]TB APJ'!$B$372</definedName>
    <definedName name="I00295_">'[18]TB APJ'!$B$373</definedName>
    <definedName name="I00296_">'[18]TB APJ'!$B$374</definedName>
    <definedName name="I00297_">'[18]TB APJ'!$B$375</definedName>
    <definedName name="I00298_" localSheetId="1">'[18]TB APJ'!#REF!</definedName>
    <definedName name="I00298_" localSheetId="15">'[18]TB APJ'!#REF!</definedName>
    <definedName name="I00298_" localSheetId="9">'[18]TB APJ'!#REF!</definedName>
    <definedName name="I00298_" localSheetId="0">'[18]TB APJ'!#REF!</definedName>
    <definedName name="I00298_">'[18]TB APJ'!#REF!</definedName>
    <definedName name="I00299_" localSheetId="1">'[18]TB APJ'!#REF!</definedName>
    <definedName name="I00299_" localSheetId="15">'[18]TB APJ'!#REF!</definedName>
    <definedName name="I00299_" localSheetId="9">'[18]TB APJ'!#REF!</definedName>
    <definedName name="I00299_" localSheetId="0">'[18]TB APJ'!#REF!</definedName>
    <definedName name="I00299_">'[18]TB APJ'!#REF!</definedName>
    <definedName name="I00300_" localSheetId="1">'[18]TB APJ'!#REF!</definedName>
    <definedName name="I00300_" localSheetId="15">'[18]TB APJ'!#REF!</definedName>
    <definedName name="I00300_" localSheetId="9">'[18]TB APJ'!#REF!</definedName>
    <definedName name="I00300_" localSheetId="0">'[18]TB APJ'!#REF!</definedName>
    <definedName name="I00300_">'[18]TB APJ'!#REF!</definedName>
    <definedName name="I00301_">'[18]TB APJ'!$B$147</definedName>
    <definedName name="I00302_">'[18]TB APJ'!$B$148</definedName>
    <definedName name="I00313_" localSheetId="1">'[18]TB APJ'!#REF!</definedName>
    <definedName name="I00313_" localSheetId="15">'[18]TB APJ'!#REF!</definedName>
    <definedName name="I00313_" localSheetId="9">'[18]TB APJ'!#REF!</definedName>
    <definedName name="I00313_" localSheetId="0">'[18]TB APJ'!#REF!</definedName>
    <definedName name="I00313_">'[18]TB APJ'!#REF!</definedName>
    <definedName name="I00316_" localSheetId="1">'[18]TB APJ'!#REF!</definedName>
    <definedName name="I00316_" localSheetId="15">'[18]TB APJ'!#REF!</definedName>
    <definedName name="I00316_" localSheetId="9">'[18]TB APJ'!#REF!</definedName>
    <definedName name="I00316_" localSheetId="0">'[18]TB APJ'!#REF!</definedName>
    <definedName name="I00316_">'[18]TB APJ'!#REF!</definedName>
    <definedName name="I00318_">'[18]TB APJ'!$B$149</definedName>
    <definedName name="I00319_">'[18]TB APJ'!$B$376</definedName>
    <definedName name="I00320_" localSheetId="1">'[18]TB APJ'!#REF!</definedName>
    <definedName name="I00320_" localSheetId="15">'[18]TB APJ'!#REF!</definedName>
    <definedName name="I00320_" localSheetId="9">'[18]TB APJ'!#REF!</definedName>
    <definedName name="I00320_" localSheetId="0">'[18]TB APJ'!#REF!</definedName>
    <definedName name="I00320_">'[18]TB APJ'!#REF!</definedName>
    <definedName name="I00321_">'[18]TB APJ'!$B$150</definedName>
    <definedName name="I00322_">'[18]TB APJ'!$B$378</definedName>
    <definedName name="I00324_">'[18]TB APJ'!$B$379</definedName>
    <definedName name="I00326_" localSheetId="1">'[18]TB APJ'!#REF!</definedName>
    <definedName name="I00326_" localSheetId="15">'[18]TB APJ'!#REF!</definedName>
    <definedName name="I00326_" localSheetId="9">'[18]TB APJ'!#REF!</definedName>
    <definedName name="I00326_" localSheetId="0">'[18]TB APJ'!#REF!</definedName>
    <definedName name="I00326_">'[18]TB APJ'!#REF!</definedName>
    <definedName name="I00327_">'[18]TB APJ'!$B$151</definedName>
    <definedName name="I00328_">'[18]TB APJ'!$B$152</definedName>
    <definedName name="I00329_" localSheetId="1">'[18]TB APJ'!#REF!</definedName>
    <definedName name="I00329_" localSheetId="15">'[18]TB APJ'!#REF!</definedName>
    <definedName name="I00329_" localSheetId="9">'[18]TB APJ'!#REF!</definedName>
    <definedName name="I00329_" localSheetId="0">'[18]TB APJ'!#REF!</definedName>
    <definedName name="I00329_">'[18]TB APJ'!#REF!</definedName>
    <definedName name="I00330_">'[18]TB APJ'!$B$240</definedName>
    <definedName name="I00331_" localSheetId="1">'[18]TB APJ'!#REF!</definedName>
    <definedName name="I00331_" localSheetId="15">'[18]TB APJ'!#REF!</definedName>
    <definedName name="I00331_" localSheetId="9">'[18]TB APJ'!#REF!</definedName>
    <definedName name="I00331_" localSheetId="0">'[18]TB APJ'!#REF!</definedName>
    <definedName name="I00331_">'[18]TB APJ'!#REF!</definedName>
    <definedName name="I00332_" localSheetId="1">'[18]TB APJ'!#REF!</definedName>
    <definedName name="I00332_" localSheetId="15">'[18]TB APJ'!#REF!</definedName>
    <definedName name="I00332_" localSheetId="9">'[18]TB APJ'!#REF!</definedName>
    <definedName name="I00332_" localSheetId="0">'[18]TB APJ'!#REF!</definedName>
    <definedName name="I00332_">'[18]TB APJ'!#REF!</definedName>
    <definedName name="I00333_">'[18]TB APJ'!$B$153</definedName>
    <definedName name="I00334_" localSheetId="1">'[18]TB APJ'!#REF!</definedName>
    <definedName name="I00334_" localSheetId="15">'[18]TB APJ'!#REF!</definedName>
    <definedName name="I00334_" localSheetId="9">'[18]TB APJ'!#REF!</definedName>
    <definedName name="I00334_" localSheetId="0">'[18]TB APJ'!#REF!</definedName>
    <definedName name="I00334_">'[18]TB APJ'!#REF!</definedName>
    <definedName name="I00335_" localSheetId="1">'[18]TB APJ'!#REF!</definedName>
    <definedName name="I00335_" localSheetId="15">'[18]TB APJ'!#REF!</definedName>
    <definedName name="I00335_" localSheetId="9">'[18]TB APJ'!#REF!</definedName>
    <definedName name="I00335_" localSheetId="0">'[18]TB APJ'!#REF!</definedName>
    <definedName name="I00335_">'[18]TB APJ'!#REF!</definedName>
    <definedName name="I00336_">'[18]TB APJ'!$B$154</definedName>
    <definedName name="I00337_" localSheetId="1">'[18]TB APJ'!#REF!</definedName>
    <definedName name="I00337_" localSheetId="15">'[18]TB APJ'!#REF!</definedName>
    <definedName name="I00337_" localSheetId="9">'[18]TB APJ'!#REF!</definedName>
    <definedName name="I00337_" localSheetId="0">'[18]TB APJ'!#REF!</definedName>
    <definedName name="I00337_">'[18]TB APJ'!#REF!</definedName>
    <definedName name="I00338_">'[18]TB APJ'!$B$234</definedName>
    <definedName name="I00340_" localSheetId="1">'[18]TB APJ'!#REF!</definedName>
    <definedName name="I00340_" localSheetId="15">'[18]TB APJ'!#REF!</definedName>
    <definedName name="I00340_" localSheetId="9">'[18]TB APJ'!#REF!</definedName>
    <definedName name="I00340_" localSheetId="0">'[18]TB APJ'!#REF!</definedName>
    <definedName name="I00340_">'[18]TB APJ'!#REF!</definedName>
    <definedName name="I00341_" localSheetId="1">'[18]TB APJ'!#REF!</definedName>
    <definedName name="I00341_" localSheetId="15">'[18]TB APJ'!#REF!</definedName>
    <definedName name="I00341_" localSheetId="9">'[18]TB APJ'!#REF!</definedName>
    <definedName name="I00341_" localSheetId="0">'[18]TB APJ'!#REF!</definedName>
    <definedName name="I00341_">'[18]TB APJ'!#REF!</definedName>
    <definedName name="I00342_" localSheetId="1">'[18]TB APJ'!#REF!</definedName>
    <definedName name="I00342_" localSheetId="15">'[18]TB APJ'!#REF!</definedName>
    <definedName name="I00342_" localSheetId="9">'[18]TB APJ'!#REF!</definedName>
    <definedName name="I00342_" localSheetId="0">'[18]TB APJ'!#REF!</definedName>
    <definedName name="I00342_">'[18]TB APJ'!#REF!</definedName>
    <definedName name="I00343_">'[18]TB APJ'!$B$236</definedName>
    <definedName name="I00344_">'[18]TB APJ'!$B$237</definedName>
    <definedName name="I00345_">'[18]TB APJ'!$B$155</definedName>
    <definedName name="I00348_">'[18]TB APJ'!$B$156</definedName>
    <definedName name="I00349_">'[18]TB APJ'!$B$157</definedName>
    <definedName name="I00350_">'[18]TB APJ'!$B$158</definedName>
    <definedName name="I00351_">'[18]TB APJ'!$B$159</definedName>
    <definedName name="I00363_">'[18]TB APJ'!$B$160</definedName>
    <definedName name="I00364_">'[18]TB APJ'!$B$161</definedName>
    <definedName name="I00365_">'[17]TB APJ'!$B$109</definedName>
    <definedName name="I0250_">'[18]TB APJ'!$B$162</definedName>
    <definedName name="I0251_">'[18]TB APJ'!$B$163</definedName>
    <definedName name="I0254_">'[18]TB APJ'!$B$164</definedName>
    <definedName name="I0260_">'[18]TB APJ'!$B$165</definedName>
    <definedName name="I0261_">'[18]TB APJ'!$B$383</definedName>
    <definedName name="I0263_">'[18]TB APJ'!$B$166</definedName>
    <definedName name="I0264_">'[18]TB APJ'!$B$238</definedName>
    <definedName name="I0265_">'[18]TB APJ'!$B$167</definedName>
    <definedName name="I0267_">'[18]TB APJ'!$B$168</definedName>
    <definedName name="I0268_" localSheetId="1">'[18]TB APJ'!#REF!</definedName>
    <definedName name="I0268_" localSheetId="15">'[18]TB APJ'!#REF!</definedName>
    <definedName name="I0268_" localSheetId="9">'[18]TB APJ'!#REF!</definedName>
    <definedName name="I0268_" localSheetId="0">'[18]TB APJ'!#REF!</definedName>
    <definedName name="I0268_">'[18]TB APJ'!#REF!</definedName>
    <definedName name="I0269_">'[18]TB APJ'!$B$385</definedName>
    <definedName name="I0270_">'[18]TB APJ'!$B$169</definedName>
    <definedName name="I0274_" localSheetId="1">'[18]TB APJ'!#REF!</definedName>
    <definedName name="I0274_" localSheetId="15">'[18]TB APJ'!#REF!</definedName>
    <definedName name="I0274_" localSheetId="9">'[18]TB APJ'!#REF!</definedName>
    <definedName name="I0274_" localSheetId="0">'[18]TB APJ'!#REF!</definedName>
    <definedName name="I0274_">'[18]TB APJ'!#REF!</definedName>
    <definedName name="I0275_">'[18]TB APJ'!$B$170</definedName>
    <definedName name="I0276_">'[18]TB APJ'!$B$171</definedName>
    <definedName name="I0277_">'[18]TB APJ'!$B$386</definedName>
    <definedName name="I0281_">'[18]TB APJ'!$B$387</definedName>
    <definedName name="I0282_">'[18]TB APJ'!$B$172</definedName>
    <definedName name="I0283_">'[18]TB APJ'!$B$389</definedName>
    <definedName name="I0286_">'[18]TB APJ'!$B$173</definedName>
    <definedName name="I0287_">'[18]TB APJ'!$B$174</definedName>
    <definedName name="I0288_" localSheetId="1">'[18]TB APJ'!#REF!</definedName>
    <definedName name="I0288_" localSheetId="15">'[18]TB APJ'!#REF!</definedName>
    <definedName name="I0288_" localSheetId="9">'[18]TB APJ'!#REF!</definedName>
    <definedName name="I0288_" localSheetId="0">'[18]TB APJ'!#REF!</definedName>
    <definedName name="I0288_">'[18]TB APJ'!#REF!</definedName>
    <definedName name="I0289_">'[18]TB APJ'!$B$175</definedName>
    <definedName name="I0291_">'[18]TB APJ'!$B$176</definedName>
    <definedName name="IMMPRO" localSheetId="1">#REF!</definedName>
    <definedName name="IMMPRO" localSheetId="15">#REF!</definedName>
    <definedName name="IMMPRO" localSheetId="34">#REF!</definedName>
    <definedName name="IMMPRO" localSheetId="0">#REF!</definedName>
    <definedName name="IMMPRO">#REF!</definedName>
    <definedName name="imprim1" localSheetId="34"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localSheetId="3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localSheetId="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mprim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INCOME" localSheetId="1">#REF!</definedName>
    <definedName name="INCOME" localSheetId="15">#REF!</definedName>
    <definedName name="INCOME" localSheetId="9">#REF!</definedName>
    <definedName name="INCOME" localSheetId="0">#REF!</definedName>
    <definedName name="INCOME">#REF!</definedName>
    <definedName name="INDIA_PLASTIC_in_KUSD" localSheetId="1">#REF!</definedName>
    <definedName name="INDIA_PLASTIC_in_KUSD" localSheetId="15">#REF!</definedName>
    <definedName name="INDIA_PLASTIC_in_KUSD" localSheetId="9">#REF!</definedName>
    <definedName name="INDIA_PLASTIC_in_KUSD" localSheetId="0">#REF!</definedName>
    <definedName name="INDIA_PLASTIC_in_KUSD">#REF!</definedName>
    <definedName name="indian" localSheetId="33">#REF!</definedName>
    <definedName name="indian" localSheetId="1">#REF!</definedName>
    <definedName name="indian" localSheetId="19">#REF!</definedName>
    <definedName name="indian" localSheetId="15">#REF!</definedName>
    <definedName name="indian" localSheetId="34">#REF!</definedName>
    <definedName name="indian" localSheetId="32">#REF!</definedName>
    <definedName name="indian" localSheetId="35">#REF!</definedName>
    <definedName name="indian" localSheetId="0">#REF!</definedName>
    <definedName name="indian" localSheetId="13">#REF!</definedName>
    <definedName name="indian">#REF!</definedName>
    <definedName name="INDIAN_RAYON_AND_INDUSTRIES_LIMITED">"ANNX1"</definedName>
    <definedName name="int_99" localSheetId="1">#REF!</definedName>
    <definedName name="int_99" localSheetId="15">#REF!</definedName>
    <definedName name="int_99" localSheetId="9">#REF!</definedName>
    <definedName name="int_99" localSheetId="0">#REF!</definedName>
    <definedName name="int_99">#REF!</definedName>
    <definedName name="Interest_Rate" localSheetId="33">'[48]Loan Amortization Schedule'!$D$6</definedName>
    <definedName name="Interest_Rate" localSheetId="19">'[48]Loan Amortization Schedule'!$D$6</definedName>
    <definedName name="Interest_Rate" localSheetId="32">'[49]Loan Amortization Schedule'!$D$6</definedName>
    <definedName name="Interest_Rate" localSheetId="35">'[49]Loan Amortization Schedule'!$D$6</definedName>
    <definedName name="Interest_Rate" localSheetId="13">'[48]Loan Amortization Schedule'!$D$6</definedName>
    <definedName name="Interest_Rate">'[50]Loan Amortization Schedule'!$D$6</definedName>
    <definedName name="inv" localSheetId="1">#REF!</definedName>
    <definedName name="inv" localSheetId="15">#REF!</definedName>
    <definedName name="inv" localSheetId="34">#REF!</definedName>
    <definedName name="inv" localSheetId="0">#REF!</definedName>
    <definedName name="inv">#REF!</definedName>
    <definedName name="IT_DEP1" localSheetId="33">#REF!</definedName>
    <definedName name="IT_DEP1" localSheetId="1">#REF!</definedName>
    <definedName name="IT_DEP1" localSheetId="19">#REF!</definedName>
    <definedName name="IT_DEP1" localSheetId="15">#REF!</definedName>
    <definedName name="IT_DEP1" localSheetId="34">#REF!</definedName>
    <definedName name="IT_DEP1" localSheetId="32">#REF!</definedName>
    <definedName name="IT_DEP1" localSheetId="35">#REF!</definedName>
    <definedName name="IT_DEP1" localSheetId="0">#REF!</definedName>
    <definedName name="IT_DEP1" localSheetId="13">#REF!</definedName>
    <definedName name="IT_DEP1">#REF!</definedName>
    <definedName name="IT_DEP2" localSheetId="33">#REF!</definedName>
    <definedName name="IT_DEP2" localSheetId="1">#REF!</definedName>
    <definedName name="IT_DEP2" localSheetId="19">#REF!</definedName>
    <definedName name="IT_DEP2" localSheetId="15">#REF!</definedName>
    <definedName name="IT_DEP2" localSheetId="34">#REF!</definedName>
    <definedName name="IT_DEP2" localSheetId="32">#REF!</definedName>
    <definedName name="IT_DEP2" localSheetId="35">#REF!</definedName>
    <definedName name="IT_DEP2" localSheetId="0">#REF!</definedName>
    <definedName name="IT_DEP2" localSheetId="13">#REF!</definedName>
    <definedName name="IT_DEP2">#REF!</definedName>
    <definedName name="J" localSheetId="33">#REF!</definedName>
    <definedName name="J" localSheetId="1">#REF!</definedName>
    <definedName name="J" localSheetId="19">#REF!</definedName>
    <definedName name="J" localSheetId="15">#REF!</definedName>
    <definedName name="J" localSheetId="34">#REF!</definedName>
    <definedName name="J" localSheetId="32">#REF!</definedName>
    <definedName name="J" localSheetId="35">#REF!</definedName>
    <definedName name="J" localSheetId="0">#REF!</definedName>
    <definedName name="J" localSheetId="13">#REF!</definedName>
    <definedName name="J">#REF!</definedName>
    <definedName name="JHARKHAND" localSheetId="33">#REF!</definedName>
    <definedName name="JHARKHAND" localSheetId="1">#REF!</definedName>
    <definedName name="JHARKHAND" localSheetId="19">#REF!</definedName>
    <definedName name="JHARKHAND" localSheetId="15">#REF!</definedName>
    <definedName name="JHARKHAND" localSheetId="34">#REF!</definedName>
    <definedName name="JHARKHAND" localSheetId="32">#REF!</definedName>
    <definedName name="JHARKHAND" localSheetId="35">#REF!</definedName>
    <definedName name="JHARKHAND" localSheetId="0">#REF!</definedName>
    <definedName name="JHARKHAND" localSheetId="13">#REF!</definedName>
    <definedName name="JHARKHAND">#REF!</definedName>
    <definedName name="k" localSheetId="33">#REF!</definedName>
    <definedName name="k" localSheetId="1">#REF!</definedName>
    <definedName name="k" localSheetId="19">#REF!</definedName>
    <definedName name="k" localSheetId="15">#REF!</definedName>
    <definedName name="k" localSheetId="34">#REF!</definedName>
    <definedName name="k" localSheetId="32">#REF!</definedName>
    <definedName name="k" localSheetId="35">#REF!</definedName>
    <definedName name="k" localSheetId="0">#REF!</definedName>
    <definedName name="k" localSheetId="13">#REF!</definedName>
    <definedName name="k">#REF!</definedName>
    <definedName name="KEY_INDICATORS_4" localSheetId="33">#REF!</definedName>
    <definedName name="KEY_INDICATORS_4" localSheetId="1">#REF!</definedName>
    <definedName name="KEY_INDICATORS_4" localSheetId="19">#REF!</definedName>
    <definedName name="KEY_INDICATORS_4" localSheetId="15">#REF!</definedName>
    <definedName name="KEY_INDICATORS_4" localSheetId="34">#REF!</definedName>
    <definedName name="KEY_INDICATORS_4" localSheetId="32">#REF!</definedName>
    <definedName name="KEY_INDICATORS_4" localSheetId="35">#REF!</definedName>
    <definedName name="KEY_INDICATORS_4" localSheetId="0">#REF!</definedName>
    <definedName name="KEY_INDICATORS_4" localSheetId="13">#REF!</definedName>
    <definedName name="KEY_INDICATORS_4">#REF!</definedName>
    <definedName name="KEY_INDICATORS_5" localSheetId="33">#REF!</definedName>
    <definedName name="KEY_INDICATORS_5" localSheetId="1">#REF!</definedName>
    <definedName name="KEY_INDICATORS_5" localSheetId="19">#REF!</definedName>
    <definedName name="KEY_INDICATORS_5" localSheetId="15">#REF!</definedName>
    <definedName name="KEY_INDICATORS_5" localSheetId="34">#REF!</definedName>
    <definedName name="KEY_INDICATORS_5" localSheetId="32">#REF!</definedName>
    <definedName name="KEY_INDICATORS_5" localSheetId="35">#REF!</definedName>
    <definedName name="KEY_INDICATORS_5" localSheetId="0">#REF!</definedName>
    <definedName name="KEY_INDICATORS_5" localSheetId="13">#REF!</definedName>
    <definedName name="KEY_INDICATORS_5">#REF!</definedName>
    <definedName name="KEY_INDICATORS_6" localSheetId="33">#REF!</definedName>
    <definedName name="KEY_INDICATORS_6" localSheetId="1">#REF!</definedName>
    <definedName name="KEY_INDICATORS_6" localSheetId="19">#REF!</definedName>
    <definedName name="KEY_INDICATORS_6" localSheetId="15">#REF!</definedName>
    <definedName name="KEY_INDICATORS_6" localSheetId="34">#REF!</definedName>
    <definedName name="KEY_INDICATORS_6" localSheetId="32">#REF!</definedName>
    <definedName name="KEY_INDICATORS_6" localSheetId="35">#REF!</definedName>
    <definedName name="KEY_INDICATORS_6" localSheetId="0">#REF!</definedName>
    <definedName name="KEY_INDICATORS_6" localSheetId="13">#REF!</definedName>
    <definedName name="KEY_INDICATORS_6">#REF!</definedName>
    <definedName name="KEY_INDICATORS_7" localSheetId="33">#REF!</definedName>
    <definedName name="KEY_INDICATORS_7" localSheetId="1">#REF!</definedName>
    <definedName name="KEY_INDICATORS_7" localSheetId="19">#REF!</definedName>
    <definedName name="KEY_INDICATORS_7" localSheetId="15">#REF!</definedName>
    <definedName name="KEY_INDICATORS_7" localSheetId="34">#REF!</definedName>
    <definedName name="KEY_INDICATORS_7" localSheetId="32">#REF!</definedName>
    <definedName name="KEY_INDICATORS_7" localSheetId="35">#REF!</definedName>
    <definedName name="KEY_INDICATORS_7" localSheetId="0">#REF!</definedName>
    <definedName name="KEY_INDICATORS_7" localSheetId="13">#REF!</definedName>
    <definedName name="KEY_INDICATORS_7">#REF!</definedName>
    <definedName name="KEY_INDICATORS_8" localSheetId="33">#REF!</definedName>
    <definedName name="KEY_INDICATORS_8" localSheetId="1">#REF!</definedName>
    <definedName name="KEY_INDICATORS_8" localSheetId="19">#REF!</definedName>
    <definedName name="KEY_INDICATORS_8" localSheetId="15">#REF!</definedName>
    <definedName name="KEY_INDICATORS_8" localSheetId="34">#REF!</definedName>
    <definedName name="KEY_INDICATORS_8" localSheetId="32">#REF!</definedName>
    <definedName name="KEY_INDICATORS_8" localSheetId="35">#REF!</definedName>
    <definedName name="KEY_INDICATORS_8" localSheetId="0">#REF!</definedName>
    <definedName name="KEY_INDICATORS_8" localSheetId="13">#REF!</definedName>
    <definedName name="KEY_INDICATORS_8">#REF!</definedName>
    <definedName name="KOREA_PLASTIC_in_KUSD" localSheetId="1">#REF!</definedName>
    <definedName name="KOREA_PLASTIC_in_KUSD" localSheetId="15">#REF!</definedName>
    <definedName name="KOREA_PLASTIC_in_KUSD" localSheetId="0">#REF!</definedName>
    <definedName name="KOREA_PLASTIC_in_KUSD">#REF!</definedName>
    <definedName name="L" localSheetId="33">[55]rough!#REF!</definedName>
    <definedName name="L" localSheetId="1">[55]rough!#REF!</definedName>
    <definedName name="L" localSheetId="19">[55]rough!#REF!</definedName>
    <definedName name="L" localSheetId="15">[55]rough!#REF!</definedName>
    <definedName name="L" localSheetId="34">[55]rough!#REF!</definedName>
    <definedName name="L" localSheetId="35">[55]rough!#REF!</definedName>
    <definedName name="L" localSheetId="0">[55]rough!#REF!</definedName>
    <definedName name="L" localSheetId="13">[55]rough!#REF!</definedName>
    <definedName name="L">[55]rough!#REF!</definedName>
    <definedName name="L00380_">'[18]TB APJ'!$B$177</definedName>
    <definedName name="L00385_">'[18]TB APJ'!$B$178</definedName>
    <definedName name="L00386_">'[18]TB APJ'!$B$179</definedName>
    <definedName name="L00398_">'[18]TB APJ'!$B$390</definedName>
    <definedName name="L00406_">'[18]TB APJ'!$B$317</definedName>
    <definedName name="L00409_">'[18]TB APJ'!$B$180</definedName>
    <definedName name="L00410_" localSheetId="1">'[18]TB APJ'!#REF!</definedName>
    <definedName name="L00410_" localSheetId="15">'[18]TB APJ'!#REF!</definedName>
    <definedName name="L00410_" localSheetId="9">'[18]TB APJ'!#REF!</definedName>
    <definedName name="L00410_" localSheetId="0">'[18]TB APJ'!#REF!</definedName>
    <definedName name="L00410_">'[18]TB APJ'!#REF!</definedName>
    <definedName name="L00416_" localSheetId="1">'[18]TB APJ'!#REF!</definedName>
    <definedName name="L00416_" localSheetId="15">'[18]TB APJ'!#REF!</definedName>
    <definedName name="L00416_" localSheetId="9">'[18]TB APJ'!#REF!</definedName>
    <definedName name="L00416_" localSheetId="0">'[18]TB APJ'!#REF!</definedName>
    <definedName name="L00416_">'[18]TB APJ'!#REF!</definedName>
    <definedName name="L00417_" localSheetId="1">'[18]TB APJ'!#REF!</definedName>
    <definedName name="L00417_" localSheetId="15">'[18]TB APJ'!#REF!</definedName>
    <definedName name="L00417_" localSheetId="9">'[18]TB APJ'!#REF!</definedName>
    <definedName name="L00417_" localSheetId="0">'[18]TB APJ'!#REF!</definedName>
    <definedName name="L00417_">'[18]TB APJ'!#REF!</definedName>
    <definedName name="L00418_" localSheetId="1">'[18]TB APJ'!#REF!</definedName>
    <definedName name="L00418_" localSheetId="15">'[18]TB APJ'!#REF!</definedName>
    <definedName name="L00418_" localSheetId="9">'[18]TB APJ'!#REF!</definedName>
    <definedName name="L00418_" localSheetId="0">'[18]TB APJ'!#REF!</definedName>
    <definedName name="L00418_">'[18]TB APJ'!#REF!</definedName>
    <definedName name="L00420_">'[18]TB APJ'!$B$181</definedName>
    <definedName name="L00625_" localSheetId="1">'[18]TB APJ'!#REF!</definedName>
    <definedName name="L00625_" localSheetId="15">'[18]TB APJ'!#REF!</definedName>
    <definedName name="L00625_" localSheetId="9">'[18]TB APJ'!#REF!</definedName>
    <definedName name="L00625_" localSheetId="0">'[18]TB APJ'!#REF!</definedName>
    <definedName name="L00625_">'[18]TB APJ'!#REF!</definedName>
    <definedName name="L00626_" localSheetId="1">'[18]TB APJ'!#REF!</definedName>
    <definedName name="L00626_" localSheetId="15">'[18]TB APJ'!#REF!</definedName>
    <definedName name="L00626_" localSheetId="9">'[18]TB APJ'!#REF!</definedName>
    <definedName name="L00626_" localSheetId="0">'[18]TB APJ'!#REF!</definedName>
    <definedName name="L00626_">'[18]TB APJ'!#REF!</definedName>
    <definedName name="L00627_" localSheetId="1">'[18]TB APJ'!#REF!</definedName>
    <definedName name="L00627_" localSheetId="15">'[18]TB APJ'!#REF!</definedName>
    <definedName name="L00627_" localSheetId="9">'[18]TB APJ'!#REF!</definedName>
    <definedName name="L00627_" localSheetId="0">'[18]TB APJ'!#REF!</definedName>
    <definedName name="L00627_">'[18]TB APJ'!#REF!</definedName>
    <definedName name="L00628_" localSheetId="1">'[18]TB APJ'!#REF!</definedName>
    <definedName name="L00628_" localSheetId="15">'[18]TB APJ'!#REF!</definedName>
    <definedName name="L00628_" localSheetId="9">'[18]TB APJ'!#REF!</definedName>
    <definedName name="L00628_" localSheetId="0">'[18]TB APJ'!#REF!</definedName>
    <definedName name="L00628_">'[18]TB APJ'!#REF!</definedName>
    <definedName name="L00644_" localSheetId="1">'[18]TB APJ'!#REF!</definedName>
    <definedName name="L00644_" localSheetId="15">'[18]TB APJ'!#REF!</definedName>
    <definedName name="L00644_" localSheetId="0">'[18]TB APJ'!#REF!</definedName>
    <definedName name="L00644_">'[18]TB APJ'!#REF!</definedName>
    <definedName name="L00646_" localSheetId="1">'[18]TB APJ'!#REF!</definedName>
    <definedName name="L00646_" localSheetId="15">'[18]TB APJ'!#REF!</definedName>
    <definedName name="L00646_" localSheetId="0">'[18]TB APJ'!#REF!</definedName>
    <definedName name="L00646_">'[18]TB APJ'!#REF!</definedName>
    <definedName name="L00647_" localSheetId="1">'[18]TB APJ'!#REF!</definedName>
    <definedName name="L00647_" localSheetId="15">'[18]TB APJ'!#REF!</definedName>
    <definedName name="L00647_" localSheetId="0">'[18]TB APJ'!#REF!</definedName>
    <definedName name="L00647_">'[18]TB APJ'!#REF!</definedName>
    <definedName name="L00649_">'[18]TB APJ'!$B$182</definedName>
    <definedName name="L00655_">'[18]TB APJ'!$B$392</definedName>
    <definedName name="L00656_" localSheetId="1">'[18]TB APJ'!#REF!</definedName>
    <definedName name="L00656_" localSheetId="15">'[18]TB APJ'!#REF!</definedName>
    <definedName name="L00656_" localSheetId="9">'[18]TB APJ'!#REF!</definedName>
    <definedName name="L00656_" localSheetId="0">'[18]TB APJ'!#REF!</definedName>
    <definedName name="L00656_">'[18]TB APJ'!#REF!</definedName>
    <definedName name="L00657_" localSheetId="1">'[18]TB APJ'!#REF!</definedName>
    <definedName name="L00657_" localSheetId="15">'[18]TB APJ'!#REF!</definedName>
    <definedName name="L00657_" localSheetId="9">'[18]TB APJ'!#REF!</definedName>
    <definedName name="L00657_" localSheetId="0">'[18]TB APJ'!#REF!</definedName>
    <definedName name="L00657_">'[18]TB APJ'!#REF!</definedName>
    <definedName name="L00659_" localSheetId="1">'[18]TB APJ'!#REF!</definedName>
    <definedName name="L00659_" localSheetId="15">'[18]TB APJ'!#REF!</definedName>
    <definedName name="L00659_" localSheetId="9">'[18]TB APJ'!#REF!</definedName>
    <definedName name="L00659_" localSheetId="0">'[18]TB APJ'!#REF!</definedName>
    <definedName name="L00659_">'[18]TB APJ'!#REF!</definedName>
    <definedName name="L00660_" localSheetId="1">'[18]TB APJ'!#REF!</definedName>
    <definedName name="L00660_" localSheetId="15">'[18]TB APJ'!#REF!</definedName>
    <definedName name="L00660_" localSheetId="9">'[18]TB APJ'!#REF!</definedName>
    <definedName name="L00660_" localSheetId="0">'[18]TB APJ'!#REF!</definedName>
    <definedName name="L00660_">'[18]TB APJ'!#REF!</definedName>
    <definedName name="L00665_" localSheetId="1">'[18]TB APJ'!#REF!</definedName>
    <definedName name="L00665_" localSheetId="15">'[18]TB APJ'!#REF!</definedName>
    <definedName name="L00665_" localSheetId="0">'[18]TB APJ'!#REF!</definedName>
    <definedName name="L00665_">'[18]TB APJ'!#REF!</definedName>
    <definedName name="L00666_">'[18]TB APJ'!$B$183</definedName>
    <definedName name="L00667_">'[18]TB APJ'!$B$184</definedName>
    <definedName name="L00668_" localSheetId="1">'[17]TB APJ'!#REF!</definedName>
    <definedName name="L00668_" localSheetId="15">'[17]TB APJ'!#REF!</definedName>
    <definedName name="L00668_" localSheetId="9">'[17]TB APJ'!#REF!</definedName>
    <definedName name="L00668_" localSheetId="0">'[17]TB APJ'!#REF!</definedName>
    <definedName name="L00668_">'[17]TB APJ'!#REF!</definedName>
    <definedName name="L00669_">'[18]TB APJ'!$B$185</definedName>
    <definedName name="L00670_" localSheetId="1">'[18]TB APJ'!#REF!</definedName>
    <definedName name="L00670_" localSheetId="15">'[18]TB APJ'!#REF!</definedName>
    <definedName name="L00670_" localSheetId="9">'[18]TB APJ'!#REF!</definedName>
    <definedName name="L00670_" localSheetId="0">'[18]TB APJ'!#REF!</definedName>
    <definedName name="L00670_">'[18]TB APJ'!#REF!</definedName>
    <definedName name="L00671_" localSheetId="1">'[18]TB APJ'!#REF!</definedName>
    <definedName name="L00671_" localSheetId="15">'[18]TB APJ'!#REF!</definedName>
    <definedName name="L00671_" localSheetId="9">'[18]TB APJ'!#REF!</definedName>
    <definedName name="L00671_" localSheetId="0">'[18]TB APJ'!#REF!</definedName>
    <definedName name="L00671_">'[18]TB APJ'!#REF!</definedName>
    <definedName name="L00672_" localSheetId="1">'[18]TB APJ'!#REF!</definedName>
    <definedName name="L00672_" localSheetId="15">'[18]TB APJ'!#REF!</definedName>
    <definedName name="L00672_" localSheetId="9">'[18]TB APJ'!#REF!</definedName>
    <definedName name="L00672_" localSheetId="0">'[18]TB APJ'!#REF!</definedName>
    <definedName name="L00672_">'[18]TB APJ'!#REF!</definedName>
    <definedName name="L00673_" localSheetId="1">'[18]TB APJ'!#REF!</definedName>
    <definedName name="L00673_" localSheetId="15">'[18]TB APJ'!#REF!</definedName>
    <definedName name="L00673_" localSheetId="9">'[18]TB APJ'!#REF!</definedName>
    <definedName name="L00673_" localSheetId="0">'[18]TB APJ'!#REF!</definedName>
    <definedName name="L00673_">'[18]TB APJ'!#REF!</definedName>
    <definedName name="L00675_" localSheetId="1">'[18]TB APJ'!#REF!</definedName>
    <definedName name="L00675_" localSheetId="15">'[18]TB APJ'!#REF!</definedName>
    <definedName name="L00675_" localSheetId="0">'[18]TB APJ'!#REF!</definedName>
    <definedName name="L00675_">'[18]TB APJ'!#REF!</definedName>
    <definedName name="L00677_" localSheetId="1">'[17]TB APJ'!#REF!</definedName>
    <definedName name="L00677_" localSheetId="15">'[17]TB APJ'!#REF!</definedName>
    <definedName name="L00677_" localSheetId="0">'[17]TB APJ'!#REF!</definedName>
    <definedName name="L00677_">'[17]TB APJ'!#REF!</definedName>
    <definedName name="L00678_" localSheetId="1">'[18]TB APJ'!#REF!</definedName>
    <definedName name="L00678_" localSheetId="15">'[18]TB APJ'!#REF!</definedName>
    <definedName name="L00678_" localSheetId="0">'[18]TB APJ'!#REF!</definedName>
    <definedName name="L00678_">'[18]TB APJ'!#REF!</definedName>
    <definedName name="L00681_" localSheetId="1">'[17]TB APJ'!#REF!</definedName>
    <definedName name="L00681_" localSheetId="15">'[17]TB APJ'!#REF!</definedName>
    <definedName name="L00681_" localSheetId="0">'[17]TB APJ'!#REF!</definedName>
    <definedName name="L00681_">'[17]TB APJ'!#REF!</definedName>
    <definedName name="L00683_">'[18]TB APJ'!$B$188</definedName>
    <definedName name="L00684_">'[18]TB APJ'!$B$394</definedName>
    <definedName name="L00685_" localSheetId="1">'[18]TB APJ'!#REF!</definedName>
    <definedName name="L00685_" localSheetId="15">'[18]TB APJ'!#REF!</definedName>
    <definedName name="L00685_" localSheetId="9">'[18]TB APJ'!#REF!</definedName>
    <definedName name="L00685_" localSheetId="0">'[18]TB APJ'!#REF!</definedName>
    <definedName name="L00685_">'[18]TB APJ'!#REF!</definedName>
    <definedName name="L00686_" localSheetId="1">'[18]TB APJ'!#REF!</definedName>
    <definedName name="L00686_" localSheetId="15">'[18]TB APJ'!#REF!</definedName>
    <definedName name="L00686_" localSheetId="9">'[18]TB APJ'!#REF!</definedName>
    <definedName name="L00686_" localSheetId="0">'[18]TB APJ'!#REF!</definedName>
    <definedName name="L00686_">'[18]TB APJ'!#REF!</definedName>
    <definedName name="L00687_" localSheetId="1">'[18]TB APJ'!#REF!</definedName>
    <definedName name="L00687_" localSheetId="15">'[18]TB APJ'!#REF!</definedName>
    <definedName name="L00687_" localSheetId="9">'[18]TB APJ'!#REF!</definedName>
    <definedName name="L00687_" localSheetId="0">'[18]TB APJ'!#REF!</definedName>
    <definedName name="L00687_">'[18]TB APJ'!#REF!</definedName>
    <definedName name="L00690_" localSheetId="1">'[17]TB APJ'!#REF!</definedName>
    <definedName name="L00690_" localSheetId="15">'[17]TB APJ'!#REF!</definedName>
    <definedName name="L00690_" localSheetId="9">'[17]TB APJ'!#REF!</definedName>
    <definedName name="L00690_" localSheetId="0">'[17]TB APJ'!#REF!</definedName>
    <definedName name="L00690_">'[17]TB APJ'!#REF!</definedName>
    <definedName name="L00693_">'[18]TB APJ'!$B$275</definedName>
    <definedName name="L00697_">'[18]TB APJ'!$B$189</definedName>
    <definedName name="L00699_" localSheetId="1">'[18]TB APJ'!#REF!</definedName>
    <definedName name="L00699_" localSheetId="15">'[18]TB APJ'!#REF!</definedName>
    <definedName name="L00699_" localSheetId="9">'[18]TB APJ'!#REF!</definedName>
    <definedName name="L00699_" localSheetId="0">'[18]TB APJ'!#REF!</definedName>
    <definedName name="L00699_">'[18]TB APJ'!#REF!</definedName>
    <definedName name="L00703_" localSheetId="1">'[18]TB APJ'!#REF!</definedName>
    <definedName name="L00703_" localSheetId="15">'[18]TB APJ'!#REF!</definedName>
    <definedName name="L00703_" localSheetId="9">'[18]TB APJ'!#REF!</definedName>
    <definedName name="L00703_" localSheetId="0">'[18]TB APJ'!#REF!</definedName>
    <definedName name="L00703_">'[18]TB APJ'!#REF!</definedName>
    <definedName name="L00704_" localSheetId="1">'[18]TB APJ'!#REF!</definedName>
    <definedName name="L00704_" localSheetId="15">'[18]TB APJ'!#REF!</definedName>
    <definedName name="L00704_" localSheetId="9">'[18]TB APJ'!#REF!</definedName>
    <definedName name="L00704_" localSheetId="0">'[18]TB APJ'!#REF!</definedName>
    <definedName name="L00704_">'[18]TB APJ'!#REF!</definedName>
    <definedName name="L00705_" localSheetId="1">'[17]TB APJ'!#REF!</definedName>
    <definedName name="L00705_" localSheetId="15">'[17]TB APJ'!#REF!</definedName>
    <definedName name="L00705_" localSheetId="9">'[17]TB APJ'!#REF!</definedName>
    <definedName name="L00705_" localSheetId="0">'[17]TB APJ'!#REF!</definedName>
    <definedName name="L00705_">'[17]TB APJ'!#REF!</definedName>
    <definedName name="L00706_">'[18]TB APJ'!$B$192</definedName>
    <definedName name="L00707_">'[17]TB APJ'!$B$125</definedName>
    <definedName name="L00708_">'[18]TB APJ'!$B$194</definedName>
    <definedName name="L00714_">'[18]TB APJ'!$B$195</definedName>
    <definedName name="L00718_">'[18]TB APJ'!$B$247</definedName>
    <definedName name="L00719_">'[18]TB APJ'!$B$199</definedName>
    <definedName name="L00725_">'[18]TB APJ'!$B$304</definedName>
    <definedName name="L00728_">'[18]TB APJ'!$B$401</definedName>
    <definedName name="L00730_">'[18]TB APJ'!$B$402</definedName>
    <definedName name="L00731_">'[18]TB APJ'!$B$403</definedName>
    <definedName name="L00733_">'[18]TB APJ'!$B$200</definedName>
    <definedName name="L00735_">'[18]TB APJ'!$B$201</definedName>
    <definedName name="L00736_">'[18]TB APJ'!$B$202</definedName>
    <definedName name="L00737_">'[17]TB APJ'!$B$131</definedName>
    <definedName name="L0294_" localSheetId="1">'[18]TB APJ'!#REF!</definedName>
    <definedName name="L0294_" localSheetId="15">'[18]TB APJ'!#REF!</definedName>
    <definedName name="L0294_" localSheetId="9">'[18]TB APJ'!#REF!</definedName>
    <definedName name="L0294_" localSheetId="0">'[18]TB APJ'!#REF!</definedName>
    <definedName name="L0294_">'[18]TB APJ'!#REF!</definedName>
    <definedName name="L0295_">'[18]TB APJ'!$B$204</definedName>
    <definedName name="L0296_">'[18]TB APJ'!$B$205</definedName>
    <definedName name="L0298_">'[18]TB APJ'!$B$248</definedName>
    <definedName name="L0299_">'[18]TB APJ'!$B$207</definedName>
    <definedName name="L0300_">'[18]TB APJ'!$B$208</definedName>
    <definedName name="L0302_">'[18]TB APJ'!$B$320</definedName>
    <definedName name="L0303_">'[18]TB APJ'!$B$404</definedName>
    <definedName name="L0304_">'[18]TB APJ'!$B$209</definedName>
    <definedName name="L0305_" localSheetId="1">'[18]TB APJ'!#REF!</definedName>
    <definedName name="L0305_" localSheetId="15">'[18]TB APJ'!#REF!</definedName>
    <definedName name="L0305_" localSheetId="9">'[18]TB APJ'!#REF!</definedName>
    <definedName name="L0305_" localSheetId="0">'[18]TB APJ'!#REF!</definedName>
    <definedName name="L0305_">'[18]TB APJ'!#REF!</definedName>
    <definedName name="L0307_">'[18]TB APJ'!$B$210</definedName>
    <definedName name="L0308_" localSheetId="1">'[18]TB APJ'!#REF!</definedName>
    <definedName name="L0308_" localSheetId="15">'[18]TB APJ'!#REF!</definedName>
    <definedName name="L0308_" localSheetId="9">'[18]TB APJ'!#REF!</definedName>
    <definedName name="L0308_" localSheetId="0">'[18]TB APJ'!#REF!</definedName>
    <definedName name="L0308_">'[18]TB APJ'!#REF!</definedName>
    <definedName name="L0309_">'[18]TB APJ'!$B$211</definedName>
    <definedName name="L0310_">'[18]TB APJ'!$B$321</definedName>
    <definedName name="L0311_" localSheetId="1">'[18]TB APJ'!#REF!</definedName>
    <definedName name="L0311_" localSheetId="15">'[18]TB APJ'!#REF!</definedName>
    <definedName name="L0311_" localSheetId="9">'[18]TB APJ'!#REF!</definedName>
    <definedName name="L0311_" localSheetId="0">'[18]TB APJ'!#REF!</definedName>
    <definedName name="L0311_">'[18]TB APJ'!#REF!</definedName>
    <definedName name="L0316_">'[18]TB APJ'!$B$212</definedName>
    <definedName name="L0317_">'[18]TB APJ'!$B$213</definedName>
    <definedName name="L0318_" localSheetId="1">'[18]TB APJ'!#REF!</definedName>
    <definedName name="L0318_" localSheetId="15">'[18]TB APJ'!#REF!</definedName>
    <definedName name="L0318_" localSheetId="9">'[18]TB APJ'!#REF!</definedName>
    <definedName name="L0318_" localSheetId="0">'[18]TB APJ'!#REF!</definedName>
    <definedName name="L0318_">'[18]TB APJ'!#REF!</definedName>
    <definedName name="L0319_">'[18]TB APJ'!$B$214</definedName>
    <definedName name="L0322_">'[18]TB APJ'!$B$408</definedName>
    <definedName name="L0323_">'[18]TB APJ'!$B$215</definedName>
    <definedName name="L0326_">'[18]TB APJ'!$B$216</definedName>
    <definedName name="L0328_">'[18]TB APJ'!$B$217</definedName>
    <definedName name="L0330_" localSheetId="1">'[18]TB APJ'!#REF!</definedName>
    <definedName name="L0330_" localSheetId="15">'[18]TB APJ'!#REF!</definedName>
    <definedName name="L0330_" localSheetId="9">'[18]TB APJ'!#REF!</definedName>
    <definedName name="L0330_" localSheetId="0">'[18]TB APJ'!#REF!</definedName>
    <definedName name="L0330_">'[18]TB APJ'!#REF!</definedName>
    <definedName name="L0333_">'[18]TB APJ'!$B$218</definedName>
    <definedName name="L0337_">'[18]TB APJ'!$B$219</definedName>
    <definedName name="L0341_">'[18]TB APJ'!$B$220</definedName>
    <definedName name="L0342_">'[18]TB APJ'!$B$221</definedName>
    <definedName name="L0343_">'[18]TB APJ'!$B$222</definedName>
    <definedName name="L0344_" localSheetId="1">'[18]TB APJ'!#REF!</definedName>
    <definedName name="L0344_" localSheetId="15">'[18]TB APJ'!#REF!</definedName>
    <definedName name="L0344_" localSheetId="9">'[18]TB APJ'!#REF!</definedName>
    <definedName name="L0344_" localSheetId="0">'[18]TB APJ'!#REF!</definedName>
    <definedName name="L0344_">'[18]TB APJ'!#REF!</definedName>
    <definedName name="L0346_">'[18]TB APJ'!$B$414</definedName>
    <definedName name="L0347_">'[18]TB APJ'!$B$238</definedName>
    <definedName name="L0348_" localSheetId="1">'[17]TB APJ'!#REF!</definedName>
    <definedName name="L0348_" localSheetId="15">'[17]TB APJ'!#REF!</definedName>
    <definedName name="L0348_" localSheetId="9">'[17]TB APJ'!#REF!</definedName>
    <definedName name="L0348_" localSheetId="0">'[17]TB APJ'!#REF!</definedName>
    <definedName name="L0348_">'[17]TB APJ'!#REF!</definedName>
    <definedName name="L0349_">'[18]TB APJ'!$B$223</definedName>
    <definedName name="L0350_">'[18]TB APJ'!$B$415</definedName>
    <definedName name="L0351_" localSheetId="1">'[17]TB APJ'!#REF!</definedName>
    <definedName name="L0351_" localSheetId="15">'[17]TB APJ'!#REF!</definedName>
    <definedName name="L0351_" localSheetId="9">'[17]TB APJ'!#REF!</definedName>
    <definedName name="L0351_" localSheetId="0">'[17]TB APJ'!#REF!</definedName>
    <definedName name="L0351_">'[17]TB APJ'!#REF!</definedName>
    <definedName name="L0355_">'[18]TB APJ'!$B$225</definedName>
    <definedName name="L0356_" localSheetId="1">'[17]TB APJ'!#REF!</definedName>
    <definedName name="L0356_" localSheetId="15">'[17]TB APJ'!#REF!</definedName>
    <definedName name="L0356_" localSheetId="9">'[17]TB APJ'!#REF!</definedName>
    <definedName name="L0356_" localSheetId="0">'[17]TB APJ'!#REF!</definedName>
    <definedName name="L0356_">'[17]TB APJ'!#REF!</definedName>
    <definedName name="Labour" localSheetId="1">#REF!</definedName>
    <definedName name="Labour" localSheetId="15">#REF!</definedName>
    <definedName name="Labour" localSheetId="34">#REF!</definedName>
    <definedName name="Labour" localSheetId="0">#REF!</definedName>
    <definedName name="Labour">#REF!</definedName>
    <definedName name="Labour_99" localSheetId="1">#REF!</definedName>
    <definedName name="Labour_99" localSheetId="15">#REF!</definedName>
    <definedName name="Labour_99" localSheetId="34">#REF!</definedName>
    <definedName name="Labour_99" localSheetId="0">#REF!</definedName>
    <definedName name="Labour_99">#REF!</definedName>
    <definedName name="Labourch" localSheetId="33">#REF!</definedName>
    <definedName name="Labourch" localSheetId="1">#REF!</definedName>
    <definedName name="Labourch" localSheetId="19">#REF!</definedName>
    <definedName name="Labourch" localSheetId="15">#REF!</definedName>
    <definedName name="Labourch" localSheetId="34">#REF!</definedName>
    <definedName name="Labourch" localSheetId="32">#REF!</definedName>
    <definedName name="Labourch" localSheetId="35">#REF!</definedName>
    <definedName name="Labourch" localSheetId="0">#REF!</definedName>
    <definedName name="Labourch" localSheetId="13">#REF!</definedName>
    <definedName name="Labourch">#REF!</definedName>
    <definedName name="LAC" localSheetId="1">#REF!</definedName>
    <definedName name="LAC" localSheetId="15">#REF!</definedName>
    <definedName name="LAC" localSheetId="0">#REF!</definedName>
    <definedName name="LAC">#REF!</definedName>
    <definedName name="Last_Row">#N/A</definedName>
    <definedName name="LastDays" localSheetId="33">#REF!</definedName>
    <definedName name="LastDays" localSheetId="1">#REF!</definedName>
    <definedName name="LastDays" localSheetId="19">#REF!</definedName>
    <definedName name="LastDays" localSheetId="15">#REF!</definedName>
    <definedName name="LastDays" localSheetId="34">#REF!</definedName>
    <definedName name="LastDays" localSheetId="32">#REF!</definedName>
    <definedName name="LastDays" localSheetId="35">#REF!</definedName>
    <definedName name="LastDays" localSheetId="0">#REF!</definedName>
    <definedName name="LastDays" localSheetId="13">#REF!</definedName>
    <definedName name="LastDays">#REF!</definedName>
    <definedName name="LIAB_4" localSheetId="33">#REF!</definedName>
    <definedName name="LIAB_4" localSheetId="1">#REF!</definedName>
    <definedName name="LIAB_4" localSheetId="19">#REF!</definedName>
    <definedName name="LIAB_4" localSheetId="15">#REF!</definedName>
    <definedName name="LIAB_4" localSheetId="34">#REF!</definedName>
    <definedName name="LIAB_4" localSheetId="32">#REF!</definedName>
    <definedName name="LIAB_4" localSheetId="35">#REF!</definedName>
    <definedName name="LIAB_4" localSheetId="0">#REF!</definedName>
    <definedName name="LIAB_4" localSheetId="13">#REF!</definedName>
    <definedName name="LIAB_4">#REF!</definedName>
    <definedName name="LIAB_5" localSheetId="33">#REF!</definedName>
    <definedName name="LIAB_5" localSheetId="1">#REF!</definedName>
    <definedName name="LIAB_5" localSheetId="19">#REF!</definedName>
    <definedName name="LIAB_5" localSheetId="15">#REF!</definedName>
    <definedName name="LIAB_5" localSheetId="34">#REF!</definedName>
    <definedName name="LIAB_5" localSheetId="32">#REF!</definedName>
    <definedName name="LIAB_5" localSheetId="35">#REF!</definedName>
    <definedName name="LIAB_5" localSheetId="0">#REF!</definedName>
    <definedName name="LIAB_5" localSheetId="13">#REF!</definedName>
    <definedName name="LIAB_5">#REF!</definedName>
    <definedName name="LIAB_6" localSheetId="33">#REF!</definedName>
    <definedName name="LIAB_6" localSheetId="1">#REF!</definedName>
    <definedName name="LIAB_6" localSheetId="19">#REF!</definedName>
    <definedName name="LIAB_6" localSheetId="15">#REF!</definedName>
    <definedName name="LIAB_6" localSheetId="34">#REF!</definedName>
    <definedName name="LIAB_6" localSheetId="32">#REF!</definedName>
    <definedName name="LIAB_6" localSheetId="35">#REF!</definedName>
    <definedName name="LIAB_6" localSheetId="0">#REF!</definedName>
    <definedName name="LIAB_6" localSheetId="13">#REF!</definedName>
    <definedName name="LIAB_6">#REF!</definedName>
    <definedName name="LIAB_7" localSheetId="33">#REF!</definedName>
    <definedName name="LIAB_7" localSheetId="1">#REF!</definedName>
    <definedName name="LIAB_7" localSheetId="19">#REF!</definedName>
    <definedName name="LIAB_7" localSheetId="15">#REF!</definedName>
    <definedName name="LIAB_7" localSheetId="34">#REF!</definedName>
    <definedName name="LIAB_7" localSheetId="32">#REF!</definedName>
    <definedName name="LIAB_7" localSheetId="35">#REF!</definedName>
    <definedName name="LIAB_7" localSheetId="0">#REF!</definedName>
    <definedName name="LIAB_7" localSheetId="13">#REF!</definedName>
    <definedName name="LIAB_7">#REF!</definedName>
    <definedName name="LIAB_8" localSheetId="33">#REF!</definedName>
    <definedName name="LIAB_8" localSheetId="1">#REF!</definedName>
    <definedName name="LIAB_8" localSheetId="19">#REF!</definedName>
    <definedName name="LIAB_8" localSheetId="15">#REF!</definedName>
    <definedName name="LIAB_8" localSheetId="34">#REF!</definedName>
    <definedName name="LIAB_8" localSheetId="32">#REF!</definedName>
    <definedName name="LIAB_8" localSheetId="35">#REF!</definedName>
    <definedName name="LIAB_8" localSheetId="0">#REF!</definedName>
    <definedName name="LIAB_8" localSheetId="13">#REF!</definedName>
    <definedName name="LIAB_8">#REF!</definedName>
    <definedName name="Loan_Amount" localSheetId="33">'[48]Loan Amortization Schedule'!$D$5</definedName>
    <definedName name="Loan_Amount" localSheetId="19">'[48]Loan Amortization Schedule'!$D$5</definedName>
    <definedName name="Loan_Amount" localSheetId="32">'[49]Loan Amortization Schedule'!$D$5</definedName>
    <definedName name="Loan_Amount" localSheetId="35">'[49]Loan Amortization Schedule'!$D$5</definedName>
    <definedName name="Loan_Amount" localSheetId="13">'[48]Loan Amortization Schedule'!$D$5</definedName>
    <definedName name="Loan_Amount">'[50]Loan Amortization Schedule'!$D$5</definedName>
    <definedName name="Loan_Start" localSheetId="33">'[48]Loan Amortization Schedule'!$D$9</definedName>
    <definedName name="Loan_Start" localSheetId="19">'[48]Loan Amortization Schedule'!$D$9</definedName>
    <definedName name="Loan_Start" localSheetId="32">'[49]Loan Amortization Schedule'!$D$9</definedName>
    <definedName name="Loan_Start" localSheetId="35">'[49]Loan Amortization Schedule'!$D$9</definedName>
    <definedName name="Loan_Start" localSheetId="13">'[48]Loan Amortization Schedule'!$D$9</definedName>
    <definedName name="Loan_Start">'[50]Loan Amortization Schedule'!$D$9</definedName>
    <definedName name="Loan_Years" localSheetId="33">'[48]Loan Amortization Schedule'!$D$7</definedName>
    <definedName name="Loan_Years" localSheetId="19">'[48]Loan Amortization Schedule'!$D$7</definedName>
    <definedName name="Loan_Years" localSheetId="32">'[49]Loan Amortization Schedule'!$D$7</definedName>
    <definedName name="Loan_Years" localSheetId="35">'[49]Loan Amortization Schedule'!$D$7</definedName>
    <definedName name="Loan_Years" localSheetId="13">'[48]Loan Amortization Schedule'!$D$7</definedName>
    <definedName name="Loan_Years">'[50]Loan Amortization Schedule'!$D$7</definedName>
    <definedName name="LowerRate">0.1</definedName>
    <definedName name="ls" localSheetId="1">#REF!</definedName>
    <definedName name="ls" localSheetId="15">#REF!</definedName>
    <definedName name="ls" localSheetId="9">#REF!</definedName>
    <definedName name="ls" localSheetId="0">#REF!</definedName>
    <definedName name="ls">#REF!</definedName>
    <definedName name="M" localSheetId="33">#REF!</definedName>
    <definedName name="M" localSheetId="1">#REF!</definedName>
    <definedName name="M" localSheetId="19">#REF!</definedName>
    <definedName name="M" localSheetId="15">#REF!</definedName>
    <definedName name="M" localSheetId="34">#REF!</definedName>
    <definedName name="M" localSheetId="32">#REF!</definedName>
    <definedName name="M" localSheetId="35">#REF!</definedName>
    <definedName name="M" localSheetId="0">#REF!</definedName>
    <definedName name="M" localSheetId="13">#REF!</definedName>
    <definedName name="M">#REF!</definedName>
    <definedName name="ma" localSheetId="33">#REF!</definedName>
    <definedName name="ma" localSheetId="1">#REF!</definedName>
    <definedName name="ma" localSheetId="19">#REF!</definedName>
    <definedName name="ma" localSheetId="15">#REF!</definedName>
    <definedName name="ma" localSheetId="32">#REF!</definedName>
    <definedName name="ma" localSheetId="35">#REF!</definedName>
    <definedName name="ma" localSheetId="0">#REF!</definedName>
    <definedName name="ma" localSheetId="13">#REF!</definedName>
    <definedName name="ma">#REF!</definedName>
    <definedName name="MDEVISES" localSheetId="1">#REF!,#REF!,#REF!</definedName>
    <definedName name="MDEVISES" localSheetId="15">#REF!,#REF!,#REF!</definedName>
    <definedName name="MDEVISES" localSheetId="34">#REF!,#REF!,#REF!</definedName>
    <definedName name="MDEVISES" localSheetId="9">#REF!,#REF!,#REF!</definedName>
    <definedName name="MDEVISES" localSheetId="0">#REF!,#REF!,#REF!</definedName>
    <definedName name="MDEVISES">#REF!,#REF!,#REF!</definedName>
    <definedName name="merged2" localSheetId="33">#REF!</definedName>
    <definedName name="merged2" localSheetId="1">#REF!</definedName>
    <definedName name="merged2" localSheetId="19">#REF!</definedName>
    <definedName name="merged2" localSheetId="15">#REF!</definedName>
    <definedName name="merged2" localSheetId="34">#REF!</definedName>
    <definedName name="merged2" localSheetId="32">#REF!</definedName>
    <definedName name="merged2" localSheetId="35">#REF!</definedName>
    <definedName name="merged2" localSheetId="0">#REF!</definedName>
    <definedName name="merged2" localSheetId="13">#REF!</definedName>
    <definedName name="merged2">#REF!</definedName>
    <definedName name="MethodAcc">[24]Masters!$C$46</definedName>
    <definedName name="MFRF" localSheetId="1">#REF!,#REF!,#REF!,#REF!,#REF!</definedName>
    <definedName name="MFRF" localSheetId="15">#REF!,#REF!,#REF!,#REF!,#REF!</definedName>
    <definedName name="MFRF" localSheetId="34">#REF!,#REF!,#REF!,#REF!,#REF!</definedName>
    <definedName name="MFRF" localSheetId="0">#REF!,#REF!,#REF!,#REF!,#REF!</definedName>
    <definedName name="MFRF">#REF!,#REF!,#REF!,#REF!,#REF!</definedName>
    <definedName name="mm" localSheetId="34" hidden="1">{#N/A,#N/A,TRUE,"Sheet1"}</definedName>
    <definedName name="mm" localSheetId="32" hidden="1">{#N/A,#N/A,TRUE,"Sheet1"}</definedName>
    <definedName name="mm" localSheetId="9" hidden="1">{#N/A,#N/A,TRUE,"Sheet1"}</definedName>
    <definedName name="mm" localSheetId="0" hidden="1">{#N/A,#N/A,TRUE,"Sheet1"}</definedName>
    <definedName name="mm" hidden="1">{#N/A,#N/A,TRUE,"Sheet1"}</definedName>
    <definedName name="MONTHLY_MG" localSheetId="1">#REF!</definedName>
    <definedName name="MONTHLY_MG" localSheetId="15">#REF!</definedName>
    <definedName name="MONTHLY_MG" localSheetId="9">#REF!</definedName>
    <definedName name="MONTHLY_MG" localSheetId="0">#REF!</definedName>
    <definedName name="MONTHLY_MG">#REF!</definedName>
    <definedName name="MonthsList" localSheetId="33">#REF!</definedName>
    <definedName name="MonthsList" localSheetId="1">#REF!</definedName>
    <definedName name="MonthsList" localSheetId="19">#REF!</definedName>
    <definedName name="MonthsList" localSheetId="15">#REF!</definedName>
    <definedName name="MonthsList" localSheetId="32">#REF!</definedName>
    <definedName name="MonthsList" localSheetId="35">#REF!</definedName>
    <definedName name="MonthsList" localSheetId="0">#REF!</definedName>
    <definedName name="MonthsList" localSheetId="13">#REF!</definedName>
    <definedName name="MonthsList">#REF!</definedName>
    <definedName name="MotorVehicles">[56]Useful_Life!$C$28:$C$34</definedName>
    <definedName name="MSME" localSheetId="1">'[4]BS&amp;PLA'!#REF!</definedName>
    <definedName name="MSME" localSheetId="15">'[4]BS&amp;PLA'!#REF!</definedName>
    <definedName name="MSME" localSheetId="0">'[4]BS&amp;PLA'!#REF!</definedName>
    <definedName name="MSME">'[4]BS&amp;PLA'!#REF!</definedName>
    <definedName name="MStVal">[24]Masters!$C$47</definedName>
    <definedName name="multivision" localSheetId="1">#REF!</definedName>
    <definedName name="multivision" localSheetId="15">#REF!</definedName>
    <definedName name="multivision" localSheetId="34">#REF!</definedName>
    <definedName name="multivision" localSheetId="0">#REF!</definedName>
    <definedName name="multivision">#REF!</definedName>
    <definedName name="mv" localSheetId="33">#REF!</definedName>
    <definedName name="mv" localSheetId="1">#REF!</definedName>
    <definedName name="mv" localSheetId="19">#REF!</definedName>
    <definedName name="mv" localSheetId="15">#REF!</definedName>
    <definedName name="mv" localSheetId="34">#REF!</definedName>
    <definedName name="mv" localSheetId="32">#REF!</definedName>
    <definedName name="mv" localSheetId="35">#REF!</definedName>
    <definedName name="mv" localSheetId="0">#REF!</definedName>
    <definedName name="mv" localSheetId="13">#REF!</definedName>
    <definedName name="mv">#REF!</definedName>
    <definedName name="Name" localSheetId="33">#REF!</definedName>
    <definedName name="Name" localSheetId="1">#REF!</definedName>
    <definedName name="Name" localSheetId="19">#REF!</definedName>
    <definedName name="Name" localSheetId="15">#REF!</definedName>
    <definedName name="Name" localSheetId="34">#REF!</definedName>
    <definedName name="Name" localSheetId="32">#REF!</definedName>
    <definedName name="Name" localSheetId="35">#REF!</definedName>
    <definedName name="Name" localSheetId="0">#REF!</definedName>
    <definedName name="Name" localSheetId="13">#REF!</definedName>
    <definedName name="Name">#REF!</definedName>
    <definedName name="naresh" localSheetId="1" hidden="1">'[57]269T(final)'!#REF!</definedName>
    <definedName name="naresh" localSheetId="15" hidden="1">'[57]269T(final)'!#REF!</definedName>
    <definedName name="naresh" localSheetId="0" hidden="1">'[57]269T(final)'!#REF!</definedName>
    <definedName name="naresh" hidden="1">'[57]269T(final)'!#REF!</definedName>
    <definedName name="NatureBusiness">[24]Masters!$C$45</definedName>
    <definedName name="nhfjgf">#N/A</definedName>
    <definedName name="Note" localSheetId="3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3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3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3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_ON_ACCT" localSheetId="1">[58]tb!#REF!</definedName>
    <definedName name="NOTES_ON_ACCT" localSheetId="15">[58]tb!#REF!</definedName>
    <definedName name="NOTES_ON_ACCT" localSheetId="0">[58]tb!#REF!</definedName>
    <definedName name="NOTES_ON_ACCT">[58]tb!#REF!</definedName>
    <definedName name="Number_of_Payments" localSheetId="33">MATCH(0.01,'Advance to Supplier'!End_Bal,-1)+1</definedName>
    <definedName name="Number_of_Payments" localSheetId="19">MATCH(0.01,'Debtor''s Ageing'!End_Bal,-1)+1</definedName>
    <definedName name="Number_of_Payments" localSheetId="34">MATCH(0.01,End_Bal,-1)+1</definedName>
    <definedName name="Number_of_Payments" localSheetId="32">MATCH(0.01,'Loans to staff'!End_Bal,-1)+1</definedName>
    <definedName name="Number_of_Payments" localSheetId="35">MATCH(0.01,'MSME 22-23'!End_Bal,-1)+1</definedName>
    <definedName name="Number_of_Payments" localSheetId="9">MATCH(0.01,End_Bal,-1)+1</definedName>
    <definedName name="Number_of_Payments" localSheetId="0">MATCH(0.01,[0]!End_Bal,-1)+1</definedName>
    <definedName name="Number_of_Payments" localSheetId="13">MATCH(0.01,'Related Parties'!End_Bal,-1)+1</definedName>
    <definedName name="Number_of_Payments">MATCH(0.01,End_Bal,-1)+1</definedName>
    <definedName name="O" localSheetId="33">[59]rough!#REF!</definedName>
    <definedName name="O" localSheetId="1">[59]rough!#REF!</definedName>
    <definedName name="O" localSheetId="19">[59]rough!#REF!</definedName>
    <definedName name="O" localSheetId="15">[59]rough!#REF!</definedName>
    <definedName name="O" localSheetId="34">[59]rough!#REF!</definedName>
    <definedName name="O" localSheetId="32">[59]rough!#REF!</definedName>
    <definedName name="O" localSheetId="35">[59]rough!#REF!</definedName>
    <definedName name="O" localSheetId="0">[59]rough!#REF!</definedName>
    <definedName name="O" localSheetId="13">[59]rough!#REF!</definedName>
    <definedName name="O">[59]rough!#REF!</definedName>
    <definedName name="oh" localSheetId="33">#REF!</definedName>
    <definedName name="oh" localSheetId="1">#REF!</definedName>
    <definedName name="oh" localSheetId="19">#REF!</definedName>
    <definedName name="oh" localSheetId="15">#REF!</definedName>
    <definedName name="oh" localSheetId="34">#REF!</definedName>
    <definedName name="oh" localSheetId="32">#REF!</definedName>
    <definedName name="oh" localSheetId="35">#REF!</definedName>
    <definedName name="oh" localSheetId="0">#REF!</definedName>
    <definedName name="oh" localSheetId="13">#REF!</definedName>
    <definedName name="oh">#REF!</definedName>
    <definedName name="op_stk_rough_99" localSheetId="1">#REF!</definedName>
    <definedName name="op_stk_rough_99" localSheetId="15">#REF!</definedName>
    <definedName name="op_stk_rough_99" localSheetId="0">#REF!</definedName>
    <definedName name="op_stk_rough_99">#REF!</definedName>
    <definedName name="operations" localSheetId="1">#REF!</definedName>
    <definedName name="operations" localSheetId="15">#REF!</definedName>
    <definedName name="operations" localSheetId="0">#REF!</definedName>
    <definedName name="operations">#REF!</definedName>
    <definedName name="os" localSheetId="33">'[20]Annexure-I'!$W$11:$W$105</definedName>
    <definedName name="os" localSheetId="19">'[20]Annexure-I'!$W$11:$W$105</definedName>
    <definedName name="os" localSheetId="32">'[21]Annexure-I'!$W$11:$W$105</definedName>
    <definedName name="os" localSheetId="35">'[21]Annexure-I'!$W$11:$W$105</definedName>
    <definedName name="os" localSheetId="13">'[20]Annexure-I'!$W$11:$W$105</definedName>
    <definedName name="os">'[22]Annexure-I'!$W$11:$W$105</definedName>
    <definedName name="other" localSheetId="33">#REF!</definedName>
    <definedName name="other" localSheetId="1">#REF!</definedName>
    <definedName name="other" localSheetId="19">#REF!</definedName>
    <definedName name="other" localSheetId="15">#REF!</definedName>
    <definedName name="other" localSheetId="34">#REF!</definedName>
    <definedName name="other" localSheetId="32">#REF!</definedName>
    <definedName name="other" localSheetId="35">#REF!</definedName>
    <definedName name="other" localSheetId="0">#REF!</definedName>
    <definedName name="other" localSheetId="13">#REF!</definedName>
    <definedName name="other">#REF!</definedName>
    <definedName name="other_dep_99" localSheetId="1">#REF!</definedName>
    <definedName name="other_dep_99" localSheetId="15">#REF!</definedName>
    <definedName name="other_dep_99" localSheetId="0">#REF!</definedName>
    <definedName name="other_dep_99">#REF!</definedName>
    <definedName name="Other_exp_99" localSheetId="1">#REF!</definedName>
    <definedName name="Other_exp_99" localSheetId="15">#REF!</definedName>
    <definedName name="Other_exp_99" localSheetId="0">#REF!</definedName>
    <definedName name="Other_exp_99">#REF!</definedName>
    <definedName name="other_labour" localSheetId="1">#REF!</definedName>
    <definedName name="other_labour" localSheetId="15">#REF!</definedName>
    <definedName name="other_labour" localSheetId="0">#REF!</definedName>
    <definedName name="other_labour">#REF!</definedName>
    <definedName name="othercon" localSheetId="33">#REF!</definedName>
    <definedName name="othercon" localSheetId="1">#REF!</definedName>
    <definedName name="othercon" localSheetId="19">#REF!</definedName>
    <definedName name="othercon" localSheetId="15">#REF!</definedName>
    <definedName name="othercon" localSheetId="34">#REF!</definedName>
    <definedName name="othercon" localSheetId="32">#REF!</definedName>
    <definedName name="othercon" localSheetId="35">#REF!</definedName>
    <definedName name="othercon" localSheetId="0">#REF!</definedName>
    <definedName name="othercon" localSheetId="13">#REF!</definedName>
    <definedName name="othercon">#REF!</definedName>
    <definedName name="Others" localSheetId="33">[37]Volumes!#REF!</definedName>
    <definedName name="Others" localSheetId="1">[37]Volumes!#REF!</definedName>
    <definedName name="Others" localSheetId="19">[37]Volumes!#REF!</definedName>
    <definedName name="Others" localSheetId="15">[37]Volumes!#REF!</definedName>
    <definedName name="Others" localSheetId="34">[37]Volumes!#REF!</definedName>
    <definedName name="Others" localSheetId="35">[37]Volumes!#REF!</definedName>
    <definedName name="Others" localSheetId="0">[37]Volumes!#REF!</definedName>
    <definedName name="Others" localSheetId="13">[37]Volumes!#REF!</definedName>
    <definedName name="Others">[37]Volumes!#REF!</definedName>
    <definedName name="otr_labour" localSheetId="1">#REF!</definedName>
    <definedName name="otr_labour" localSheetId="15">#REF!</definedName>
    <definedName name="otr_labour" localSheetId="34">#REF!</definedName>
    <definedName name="otr_labour" localSheetId="0">#REF!</definedName>
    <definedName name="otr_labour">#REF!</definedName>
    <definedName name="otr_labour_99" localSheetId="1">#REF!</definedName>
    <definedName name="otr_labour_99" localSheetId="15">#REF!</definedName>
    <definedName name="otr_labour_99" localSheetId="34">#REF!</definedName>
    <definedName name="otr_labour_99" localSheetId="0">#REF!</definedName>
    <definedName name="otr_labour_99">#REF!</definedName>
    <definedName name="p" localSheetId="33">[60]rough!#REF!</definedName>
    <definedName name="p" localSheetId="1">[60]rough!#REF!</definedName>
    <definedName name="p" localSheetId="19">[60]rough!#REF!</definedName>
    <definedName name="p" localSheetId="15">[60]rough!#REF!</definedName>
    <definedName name="p" localSheetId="34">[60]rough!#REF!</definedName>
    <definedName name="p" localSheetId="35">[60]rough!#REF!</definedName>
    <definedName name="p" localSheetId="0">[60]rough!#REF!</definedName>
    <definedName name="p" localSheetId="13">[60]rough!#REF!</definedName>
    <definedName name="p">[60]rough!#REF!</definedName>
    <definedName name="P___L___Statement" localSheetId="1">#REF!</definedName>
    <definedName name="P___L___Statement" localSheetId="15">#REF!</definedName>
    <definedName name="P___L___Statement" localSheetId="34">#REF!</definedName>
    <definedName name="P___L___Statement" localSheetId="0">#REF!</definedName>
    <definedName name="P___L___Statement">#REF!</definedName>
    <definedName name="P_L" localSheetId="33">'[10]final  Bsheet &amp; P&amp; L '!#REF!</definedName>
    <definedName name="P_L" localSheetId="1">'[10]final  Bsheet &amp; P&amp; L '!#REF!</definedName>
    <definedName name="P_L" localSheetId="19">'[10]final  Bsheet &amp; P&amp; L '!#REF!</definedName>
    <definedName name="P_L" localSheetId="15">'[10]final  Bsheet &amp; P&amp; L '!#REF!</definedName>
    <definedName name="P_L" localSheetId="34">'[10]final  Bsheet &amp; P&amp; L '!#REF!</definedName>
    <definedName name="P_L" localSheetId="35">'[10]final  Bsheet &amp; P&amp; L '!#REF!</definedName>
    <definedName name="P_L" localSheetId="0">'[10]final  Bsheet &amp; P&amp; L '!#REF!</definedName>
    <definedName name="P_L" localSheetId="13">'[10]final  Bsheet &amp; P&amp; L '!#REF!</definedName>
    <definedName name="P_L">'[10]final  Bsheet &amp; P&amp; L '!#REF!</definedName>
    <definedName name="PAN">[24]Masters!$C$11</definedName>
    <definedName name="PartDesignation">[24]Masters!$C$16</definedName>
    <definedName name="PARTICULARS" localSheetId="1">#REF!</definedName>
    <definedName name="PARTICULARS" localSheetId="15">#REF!</definedName>
    <definedName name="PARTICULARS" localSheetId="34">#REF!</definedName>
    <definedName name="PARTICULARS" localSheetId="0">#REF!</definedName>
    <definedName name="PARTICULARS">#REF!</definedName>
    <definedName name="Partners_capital_99" localSheetId="1">#REF!</definedName>
    <definedName name="Partners_capital_99" localSheetId="15">#REF!</definedName>
    <definedName name="Partners_capital_99" localSheetId="34">#REF!</definedName>
    <definedName name="Partners_capital_99" localSheetId="0">#REF!</definedName>
    <definedName name="Partners_capital_99">#REF!</definedName>
    <definedName name="PaymentNL" localSheetId="33">#REF!</definedName>
    <definedName name="PaymentNL" localSheetId="1">#REF!</definedName>
    <definedName name="PaymentNL" localSheetId="19">#REF!</definedName>
    <definedName name="PaymentNL" localSheetId="15">#REF!</definedName>
    <definedName name="PaymentNL" localSheetId="32">#REF!</definedName>
    <definedName name="PaymentNL" localSheetId="35">#REF!</definedName>
    <definedName name="PaymentNL" localSheetId="0">#REF!</definedName>
    <definedName name="PaymentNL" localSheetId="13">#REF!</definedName>
    <definedName name="PaymentNL">#REF!</definedName>
    <definedName name="PaymentsNL" localSheetId="33">#REF!</definedName>
    <definedName name="PaymentsNL" localSheetId="1">#REF!</definedName>
    <definedName name="PaymentsNL" localSheetId="19">#REF!</definedName>
    <definedName name="PaymentsNL" localSheetId="15">#REF!</definedName>
    <definedName name="PaymentsNL" localSheetId="32">#REF!</definedName>
    <definedName name="PaymentsNL" localSheetId="35">#REF!</definedName>
    <definedName name="PaymentsNL" localSheetId="0">#REF!</definedName>
    <definedName name="PaymentsNL" localSheetId="13">#REF!</definedName>
    <definedName name="PaymentsNL">#REF!</definedName>
    <definedName name="PaymentsSummary" localSheetId="33">#REF!</definedName>
    <definedName name="PaymentsSummary" localSheetId="1">#REF!</definedName>
    <definedName name="PaymentsSummary" localSheetId="19">#REF!</definedName>
    <definedName name="PaymentsSummary" localSheetId="15">#REF!</definedName>
    <definedName name="PaymentsSummary" localSheetId="32">#REF!</definedName>
    <definedName name="PaymentsSummary" localSheetId="35">#REF!</definedName>
    <definedName name="PaymentsSummary" localSheetId="0">#REF!</definedName>
    <definedName name="PaymentsSummary" localSheetId="13">#REF!</definedName>
    <definedName name="PaymentsSummary">#REF!</definedName>
    <definedName name="PaymentsVAT" localSheetId="33">#REF!</definedName>
    <definedName name="PaymentsVAT" localSheetId="1">#REF!</definedName>
    <definedName name="PaymentsVAT" localSheetId="19">#REF!</definedName>
    <definedName name="PaymentsVAT" localSheetId="15">#REF!</definedName>
    <definedName name="PaymentsVAT" localSheetId="32">#REF!</definedName>
    <definedName name="PaymentsVAT" localSheetId="35">#REF!</definedName>
    <definedName name="PaymentsVAT" localSheetId="0">#REF!</definedName>
    <definedName name="PaymentsVAT" localSheetId="13">#REF!</definedName>
    <definedName name="PaymentsVAT">#REF!</definedName>
    <definedName name="PaymentsVATable" localSheetId="33">#REF!</definedName>
    <definedName name="PaymentsVATable" localSheetId="1">#REF!</definedName>
    <definedName name="PaymentsVATable" localSheetId="19">#REF!</definedName>
    <definedName name="PaymentsVATable" localSheetId="15">#REF!</definedName>
    <definedName name="PaymentsVATable" localSheetId="32">#REF!</definedName>
    <definedName name="PaymentsVATable" localSheetId="35">#REF!</definedName>
    <definedName name="PaymentsVATable" localSheetId="0">#REF!</definedName>
    <definedName name="PaymentsVATable" localSheetId="13">#REF!</definedName>
    <definedName name="PaymentsVATable">#REF!</definedName>
    <definedName name="PBIDT" localSheetId="1">#REF!</definedName>
    <definedName name="PBIDT" localSheetId="15">#REF!</definedName>
    <definedName name="PBIDT" localSheetId="0">#REF!</definedName>
    <definedName name="PBIDT">#REF!</definedName>
    <definedName name="PC1_An">[31]PC1!$I$7:$I$46</definedName>
    <definedName name="PC1_Gross">[31]PC1!$F$47</definedName>
    <definedName name="PC1_Net">[31]PC1!$H$7:$H$46</definedName>
    <definedName name="PC1_VAT">[31]PC1!$G$47</definedName>
    <definedName name="PC10_An">[31]PC10!$I$7:$I$46</definedName>
    <definedName name="PC10_Gross">[31]PC10!$F$47</definedName>
    <definedName name="PC10_Net">[31]PC10!$H$7:$H$46</definedName>
    <definedName name="PC10_VAT">[31]PC10!$G$47</definedName>
    <definedName name="PC11_An">[31]PC11!$I$7:$I$46</definedName>
    <definedName name="PC11_Gross">[31]PC11!$F$47</definedName>
    <definedName name="PC11_Net">[31]PC11!$H$7:$H$46</definedName>
    <definedName name="PC11_VAT">[31]PC11!$G$47</definedName>
    <definedName name="PC12_An">[31]PC12!$I$7:$I$46</definedName>
    <definedName name="PC12_Gross">[31]PC12!$F$47</definedName>
    <definedName name="PC12_Net">[31]PC12!$H$7:$H$46</definedName>
    <definedName name="PC12_VAT">[31]PC12!$G$47</definedName>
    <definedName name="PC2_An">[31]PC2!$I$7:$I$46</definedName>
    <definedName name="PC2_Gross">[31]PC2!$F$47</definedName>
    <definedName name="PC2_Net">[31]PC2!$H$7:$H$46</definedName>
    <definedName name="PC2_VAT">[31]PC2!$G$47</definedName>
    <definedName name="PC3_An">[31]PC3!$I$7:$I$46</definedName>
    <definedName name="PC3_Gross">[31]PC3!$F$47</definedName>
    <definedName name="PC3_Net">[31]PC3!$H$7:$H$46</definedName>
    <definedName name="PC3_VAT">[31]PC3!$G$47</definedName>
    <definedName name="PC4_An">[31]PC4!$I$7:$I$46</definedName>
    <definedName name="PC4_Gross">[31]PC4!$F$47</definedName>
    <definedName name="PC4_Net">[31]PC4!$H$7:$H$46</definedName>
    <definedName name="PC4_VAT">[31]PC4!$G$47</definedName>
    <definedName name="PC5_An">[31]PC5!$I$7:$I$46</definedName>
    <definedName name="PC5_Gross">[31]PC5!$F$47</definedName>
    <definedName name="PC5_Net">[31]PC5!$H$7:$H$46</definedName>
    <definedName name="PC5_VAT">[31]PC5!$G$47</definedName>
    <definedName name="PC6_An">[31]PC6!$I$7:$I$46</definedName>
    <definedName name="PC6_Gross">[31]PC6!$F$47</definedName>
    <definedName name="PC6_Net">[31]PC6!$H$7:$H$46</definedName>
    <definedName name="PC6_VAT">[31]PC6!$G$47</definedName>
    <definedName name="PC7_An">[31]PC7!$I$7:$I$46</definedName>
    <definedName name="PC7_Gross">[31]PC7!$F$47</definedName>
    <definedName name="PC7_Net">[31]PC7!$H$7:$H$46</definedName>
    <definedName name="PC7_VAT">[31]PC7!$G$47</definedName>
    <definedName name="PC8_An">[31]PC8!$I$7:$I$46</definedName>
    <definedName name="PC8_Gross">[31]PC8!$F$47</definedName>
    <definedName name="PC8_Net">[31]PC8!$H$7:$H$46</definedName>
    <definedName name="PC8_VAT">[31]PC8!$G$47</definedName>
    <definedName name="PC9_An">[31]PC9!$I$7:$I$46</definedName>
    <definedName name="PC9_Gross">[31]PC9!$F$47</definedName>
    <definedName name="PC9_Net">[31]PC9!$H$7:$H$46</definedName>
    <definedName name="PC9_VAT">[31]PC9!$G$47</definedName>
    <definedName name="PCSA" localSheetId="33">[37]Volumes!#REF!</definedName>
    <definedName name="PCSA" localSheetId="1">[37]Volumes!#REF!</definedName>
    <definedName name="PCSA" localSheetId="19">[37]Volumes!#REF!</definedName>
    <definedName name="PCSA" localSheetId="15">[37]Volumes!#REF!</definedName>
    <definedName name="PCSA" localSheetId="34">[37]Volumes!#REF!</definedName>
    <definedName name="PCSA" localSheetId="32">[37]Volumes!#REF!</definedName>
    <definedName name="PCSA" localSheetId="35">[37]Volumes!#REF!</definedName>
    <definedName name="PCSA" localSheetId="0">[37]Volumes!#REF!</definedName>
    <definedName name="PCSA" localSheetId="13">[37]Volumes!#REF!</definedName>
    <definedName name="PCSA">[37]Volumes!#REF!</definedName>
    <definedName name="PCsummary" localSheetId="33">#REF!</definedName>
    <definedName name="PCsummary" localSheetId="1">#REF!</definedName>
    <definedName name="PCsummary" localSheetId="19">#REF!</definedName>
    <definedName name="PCsummary" localSheetId="15">#REF!</definedName>
    <definedName name="PCsummary" localSheetId="34">#REF!</definedName>
    <definedName name="PCsummary" localSheetId="32">#REF!</definedName>
    <definedName name="PCsummary" localSheetId="35">#REF!</definedName>
    <definedName name="PCsummary" localSheetId="0">#REF!</definedName>
    <definedName name="PCsummary" localSheetId="13">#REF!</definedName>
    <definedName name="PCsummary">#REF!</definedName>
    <definedName name="PCVAT" localSheetId="33">#REF!</definedName>
    <definedName name="PCVAT" localSheetId="1">#REF!</definedName>
    <definedName name="PCVAT" localSheetId="19">#REF!</definedName>
    <definedName name="PCVAT" localSheetId="15">#REF!</definedName>
    <definedName name="PCVAT" localSheetId="32">#REF!</definedName>
    <definedName name="PCVAT" localSheetId="35">#REF!</definedName>
    <definedName name="PCVAT" localSheetId="0">#REF!</definedName>
    <definedName name="PCVAT" localSheetId="13">#REF!</definedName>
    <definedName name="PCVAT">#REF!</definedName>
    <definedName name="pl">'[2]BS 590'!$B$69:$H$116</definedName>
    <definedName name="PL1_4" localSheetId="33">#REF!</definedName>
    <definedName name="PL1_4" localSheetId="1">#REF!</definedName>
    <definedName name="PL1_4" localSheetId="19">#REF!</definedName>
    <definedName name="PL1_4" localSheetId="15">#REF!</definedName>
    <definedName name="PL1_4" localSheetId="34">#REF!</definedName>
    <definedName name="PL1_4" localSheetId="32">#REF!</definedName>
    <definedName name="PL1_4" localSheetId="35">#REF!</definedName>
    <definedName name="PL1_4" localSheetId="0">#REF!</definedName>
    <definedName name="PL1_4" localSheetId="13">#REF!</definedName>
    <definedName name="PL1_4">#REF!</definedName>
    <definedName name="PL1_5" localSheetId="33">#REF!</definedName>
    <definedName name="PL1_5" localSheetId="1">#REF!</definedName>
    <definedName name="PL1_5" localSheetId="19">#REF!</definedName>
    <definedName name="PL1_5" localSheetId="15">#REF!</definedName>
    <definedName name="PL1_5" localSheetId="34">#REF!</definedName>
    <definedName name="PL1_5" localSheetId="32">#REF!</definedName>
    <definedName name="PL1_5" localSheetId="35">#REF!</definedName>
    <definedName name="PL1_5" localSheetId="0">#REF!</definedName>
    <definedName name="PL1_5" localSheetId="13">#REF!</definedName>
    <definedName name="PL1_5">#REF!</definedName>
    <definedName name="PL1_6" localSheetId="33">#REF!</definedName>
    <definedName name="PL1_6" localSheetId="1">#REF!</definedName>
    <definedName name="PL1_6" localSheetId="19">#REF!</definedName>
    <definedName name="PL1_6" localSheetId="15">#REF!</definedName>
    <definedName name="PL1_6" localSheetId="34">#REF!</definedName>
    <definedName name="PL1_6" localSheetId="32">#REF!</definedName>
    <definedName name="PL1_6" localSheetId="35">#REF!</definedName>
    <definedName name="PL1_6" localSheetId="0">#REF!</definedName>
    <definedName name="PL1_6" localSheetId="13">#REF!</definedName>
    <definedName name="PL1_6">#REF!</definedName>
    <definedName name="PL1_7" localSheetId="33">#REF!</definedName>
    <definedName name="PL1_7" localSheetId="1">#REF!</definedName>
    <definedName name="PL1_7" localSheetId="19">#REF!</definedName>
    <definedName name="PL1_7" localSheetId="15">#REF!</definedName>
    <definedName name="PL1_7" localSheetId="34">#REF!</definedName>
    <definedName name="PL1_7" localSheetId="32">#REF!</definedName>
    <definedName name="PL1_7" localSheetId="35">#REF!</definedName>
    <definedName name="PL1_7" localSheetId="0">#REF!</definedName>
    <definedName name="PL1_7" localSheetId="13">#REF!</definedName>
    <definedName name="PL1_7">#REF!</definedName>
    <definedName name="PL1_8" localSheetId="33">#REF!</definedName>
    <definedName name="PL1_8" localSheetId="1">#REF!</definedName>
    <definedName name="PL1_8" localSheetId="19">#REF!</definedName>
    <definedName name="PL1_8" localSheetId="15">#REF!</definedName>
    <definedName name="PL1_8" localSheetId="34">#REF!</definedName>
    <definedName name="PL1_8" localSheetId="32">#REF!</definedName>
    <definedName name="PL1_8" localSheetId="35">#REF!</definedName>
    <definedName name="PL1_8" localSheetId="0">#REF!</definedName>
    <definedName name="PL1_8" localSheetId="13">#REF!</definedName>
    <definedName name="PL1_8">#REF!</definedName>
    <definedName name="PL2_4" localSheetId="33">#REF!</definedName>
    <definedName name="PL2_4" localSheetId="1">#REF!</definedName>
    <definedName name="PL2_4" localSheetId="19">#REF!</definedName>
    <definedName name="PL2_4" localSheetId="15">#REF!</definedName>
    <definedName name="PL2_4" localSheetId="34">#REF!</definedName>
    <definedName name="PL2_4" localSheetId="32">#REF!</definedName>
    <definedName name="PL2_4" localSheetId="35">#REF!</definedName>
    <definedName name="PL2_4" localSheetId="0">#REF!</definedName>
    <definedName name="PL2_4" localSheetId="13">#REF!</definedName>
    <definedName name="PL2_4">#REF!</definedName>
    <definedName name="PL2_5" localSheetId="33">#REF!</definedName>
    <definedName name="PL2_5" localSheetId="1">#REF!</definedName>
    <definedName name="PL2_5" localSheetId="19">#REF!</definedName>
    <definedName name="PL2_5" localSheetId="15">#REF!</definedName>
    <definedName name="PL2_5" localSheetId="34">#REF!</definedName>
    <definedName name="PL2_5" localSheetId="32">#REF!</definedName>
    <definedName name="PL2_5" localSheetId="35">#REF!</definedName>
    <definedName name="PL2_5" localSheetId="0">#REF!</definedName>
    <definedName name="PL2_5" localSheetId="13">#REF!</definedName>
    <definedName name="PL2_5">#REF!</definedName>
    <definedName name="PL2_6" localSheetId="33">#REF!</definedName>
    <definedName name="PL2_6" localSheetId="1">#REF!</definedName>
    <definedName name="PL2_6" localSheetId="19">#REF!</definedName>
    <definedName name="PL2_6" localSheetId="15">#REF!</definedName>
    <definedName name="PL2_6" localSheetId="34">#REF!</definedName>
    <definedName name="PL2_6" localSheetId="32">#REF!</definedName>
    <definedName name="PL2_6" localSheetId="35">#REF!</definedName>
    <definedName name="PL2_6" localSheetId="0">#REF!</definedName>
    <definedName name="PL2_6" localSheetId="13">#REF!</definedName>
    <definedName name="PL2_6">#REF!</definedName>
    <definedName name="PL2_7" localSheetId="33">#REF!</definedName>
    <definedName name="PL2_7" localSheetId="1">#REF!</definedName>
    <definedName name="PL2_7" localSheetId="19">#REF!</definedName>
    <definedName name="PL2_7" localSheetId="15">#REF!</definedName>
    <definedName name="PL2_7" localSheetId="34">#REF!</definedName>
    <definedName name="PL2_7" localSheetId="32">#REF!</definedName>
    <definedName name="PL2_7" localSheetId="35">#REF!</definedName>
    <definedName name="PL2_7" localSheetId="0">#REF!</definedName>
    <definedName name="PL2_7" localSheetId="13">#REF!</definedName>
    <definedName name="PL2_7">#REF!</definedName>
    <definedName name="PL2_8" localSheetId="33">#REF!</definedName>
    <definedName name="PL2_8" localSheetId="1">#REF!</definedName>
    <definedName name="PL2_8" localSheetId="19">#REF!</definedName>
    <definedName name="PL2_8" localSheetId="15">#REF!</definedName>
    <definedName name="PL2_8" localSheetId="34">#REF!</definedName>
    <definedName name="PL2_8" localSheetId="32">#REF!</definedName>
    <definedName name="PL2_8" localSheetId="35">#REF!</definedName>
    <definedName name="PL2_8" localSheetId="0">#REF!</definedName>
    <definedName name="PL2_8" localSheetId="13">#REF!</definedName>
    <definedName name="PL2_8">#REF!</definedName>
    <definedName name="plfull_4" localSheetId="33">#REF!</definedName>
    <definedName name="plfull_4" localSheetId="1">#REF!</definedName>
    <definedName name="plfull_4" localSheetId="19">#REF!</definedName>
    <definedName name="plfull_4" localSheetId="15">#REF!</definedName>
    <definedName name="plfull_4" localSheetId="34">#REF!</definedName>
    <definedName name="plfull_4" localSheetId="32">#REF!</definedName>
    <definedName name="plfull_4" localSheetId="35">#REF!</definedName>
    <definedName name="plfull_4" localSheetId="0">#REF!</definedName>
    <definedName name="plfull_4" localSheetId="13">#REF!</definedName>
    <definedName name="plfull_4">#REF!</definedName>
    <definedName name="plfull_5" localSheetId="33">#REF!</definedName>
    <definedName name="plfull_5" localSheetId="1">#REF!</definedName>
    <definedName name="plfull_5" localSheetId="19">#REF!</definedName>
    <definedName name="plfull_5" localSheetId="15">#REF!</definedName>
    <definedName name="plfull_5" localSheetId="34">#REF!</definedName>
    <definedName name="plfull_5" localSheetId="32">#REF!</definedName>
    <definedName name="plfull_5" localSheetId="35">#REF!</definedName>
    <definedName name="plfull_5" localSheetId="0">#REF!</definedName>
    <definedName name="plfull_5" localSheetId="13">#REF!</definedName>
    <definedName name="plfull_5">#REF!</definedName>
    <definedName name="plfull_6" localSheetId="33">#REF!</definedName>
    <definedName name="plfull_6" localSheetId="1">#REF!</definedName>
    <definedName name="plfull_6" localSheetId="19">#REF!</definedName>
    <definedName name="plfull_6" localSheetId="15">#REF!</definedName>
    <definedName name="plfull_6" localSheetId="34">#REF!</definedName>
    <definedName name="plfull_6" localSheetId="32">#REF!</definedName>
    <definedName name="plfull_6" localSheetId="35">#REF!</definedName>
    <definedName name="plfull_6" localSheetId="0">#REF!</definedName>
    <definedName name="plfull_6" localSheetId="13">#REF!</definedName>
    <definedName name="plfull_6">#REF!</definedName>
    <definedName name="plfull_7" localSheetId="33">#REF!</definedName>
    <definedName name="plfull_7" localSheetId="1">#REF!</definedName>
    <definedName name="plfull_7" localSheetId="19">#REF!</definedName>
    <definedName name="plfull_7" localSheetId="15">#REF!</definedName>
    <definedName name="plfull_7" localSheetId="34">#REF!</definedName>
    <definedName name="plfull_7" localSheetId="32">#REF!</definedName>
    <definedName name="plfull_7" localSheetId="35">#REF!</definedName>
    <definedName name="plfull_7" localSheetId="0">#REF!</definedName>
    <definedName name="plfull_7" localSheetId="13">#REF!</definedName>
    <definedName name="plfull_7">#REF!</definedName>
    <definedName name="plfull_8" localSheetId="33">#REF!</definedName>
    <definedName name="plfull_8" localSheetId="1">#REF!</definedName>
    <definedName name="plfull_8" localSheetId="19">#REF!</definedName>
    <definedName name="plfull_8" localSheetId="15">#REF!</definedName>
    <definedName name="plfull_8" localSheetId="34">#REF!</definedName>
    <definedName name="plfull_8" localSheetId="32">#REF!</definedName>
    <definedName name="plfull_8" localSheetId="35">#REF!</definedName>
    <definedName name="plfull_8" localSheetId="0">#REF!</definedName>
    <definedName name="plfull_8" localSheetId="13">#REF!</definedName>
    <definedName name="plfull_8">#REF!</definedName>
    <definedName name="plumbing" localSheetId="33">#REF!</definedName>
    <definedName name="plumbing" localSheetId="1">#REF!</definedName>
    <definedName name="plumbing" localSheetId="19">#REF!</definedName>
    <definedName name="plumbing" localSheetId="15">#REF!</definedName>
    <definedName name="plumbing" localSheetId="34">#REF!</definedName>
    <definedName name="plumbing" localSheetId="32">#REF!</definedName>
    <definedName name="plumbing" localSheetId="35">#REF!</definedName>
    <definedName name="plumbing" localSheetId="0">#REF!</definedName>
    <definedName name="plumbing" localSheetId="13">#REF!</definedName>
    <definedName name="plumbing">#REF!</definedName>
    <definedName name="Polish_cl_99" localSheetId="1">#REF!</definedName>
    <definedName name="Polish_cl_99" localSheetId="15">#REF!</definedName>
    <definedName name="Polish_cl_99" localSheetId="0">#REF!</definedName>
    <definedName name="Polish_cl_99">#REF!</definedName>
    <definedName name="Polish_op_99" localSheetId="1">#REF!</definedName>
    <definedName name="Polish_op_99" localSheetId="15">#REF!</definedName>
    <definedName name="Polish_op_99" localSheetId="0">#REF!</definedName>
    <definedName name="Polish_op_99">#REF!</definedName>
    <definedName name="Power" localSheetId="1">#REF!</definedName>
    <definedName name="Power" localSheetId="15">#REF!</definedName>
    <definedName name="Power" localSheetId="0">#REF!</definedName>
    <definedName name="Power">#REF!</definedName>
    <definedName name="Power_99" localSheetId="1">#REF!</definedName>
    <definedName name="Power_99" localSheetId="15">#REF!</definedName>
    <definedName name="Power_99" localSheetId="0">#REF!</definedName>
    <definedName name="Power_99">#REF!</definedName>
    <definedName name="prash" localSheetId="1">#REF!</definedName>
    <definedName name="prash" localSheetId="15">#REF!</definedName>
    <definedName name="prash" localSheetId="0">#REF!</definedName>
    <definedName name="prash">#REF!</definedName>
    <definedName name="Praveen" localSheetId="3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localSheetId="32"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localSheetId="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localSheetId="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Praveen"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_xlnm.Print_Area" localSheetId="33">#REF!</definedName>
    <definedName name="_xlnm.Print_Area" localSheetId="3">BSPL!$A$2:$I$1001</definedName>
    <definedName name="_xlnm.Print_Area" localSheetId="4">'BSPL Lakhs'!$B$2:$I$973</definedName>
    <definedName name="_xlnm.Print_Area" localSheetId="2">'Cash Flow'!$A$2:$AM$86</definedName>
    <definedName name="_xlnm.Print_Area" localSheetId="1">'Cash Flow Lakhs'!$A$2:$AM$86</definedName>
    <definedName name="_xlnm.Print_Area" localSheetId="31">'CLOSING STOCK 22-23'!$A$1:$Q$40</definedName>
    <definedName name="_xlnm.Print_Area" localSheetId="12">COI!$B$2:$M$77</definedName>
    <definedName name="_xlnm.Print_Area" localSheetId="19">#REF!</definedName>
    <definedName name="_xlnm.Print_Area" localSheetId="14">Depreciation!$A$1:$J$55</definedName>
    <definedName name="_xlnm.Print_Area" localSheetId="15">'Depreciation Lakhs'!$A$1:$J$56</definedName>
    <definedName name="_xlnm.Print_Area" localSheetId="30">'FG Valuation'!$B$1:$I$40</definedName>
    <definedName name="_xlnm.Print_Area" localSheetId="10">'FINAL LIST OF SAL CAPITALISE22-'!$A$1:$Q$35</definedName>
    <definedName name="_xlnm.Print_Area" localSheetId="34">'IT Dep'!$B$4:$Q$61</definedName>
    <definedName name="_xlnm.Print_Area" localSheetId="36">'Leave Encashment'!$A$1:$X$56</definedName>
    <definedName name="_xlnm.Print_Area" localSheetId="32">'Loans to staff'!$A$2:$M$23</definedName>
    <definedName name="_xlnm.Print_Area" localSheetId="35">'MSME 22-23'!$B$1:$I$96</definedName>
    <definedName name="_xlnm.Print_Area" localSheetId="9">'Ratio Analysis'!$B$2:$M$60</definedName>
    <definedName name="_xlnm.Print_Area" localSheetId="0">'Ratio Analysis (2)'!$B$2:$G$33</definedName>
    <definedName name="_xlnm.Print_Area" localSheetId="13">#REF!</definedName>
    <definedName name="_xlnm.Print_Area" localSheetId="5">'Result 1 P&amp;L'!$B$2:$G$57</definedName>
    <definedName name="_xlnm.Print_Area" localSheetId="6">'Result 2 BS'!$B$3:$D$50</definedName>
    <definedName name="_xlnm.Print_Area" localSheetId="7">'Result 3 CF'!$C$3:$E$47</definedName>
    <definedName name="_xlnm.Print_Area">#REF!</definedName>
    <definedName name="PRINT_AREA_MI" localSheetId="33">#REF!</definedName>
    <definedName name="PRINT_AREA_MI" localSheetId="1">#REF!</definedName>
    <definedName name="PRINT_AREA_MI" localSheetId="19">#REF!</definedName>
    <definedName name="PRINT_AREA_MI" localSheetId="15">#REF!</definedName>
    <definedName name="PRINT_AREA_MI" localSheetId="34">#REF!</definedName>
    <definedName name="PRINT_AREA_MI" localSheetId="32">#REF!</definedName>
    <definedName name="PRINT_AREA_MI" localSheetId="35">#REF!</definedName>
    <definedName name="PRINT_AREA_MI" localSheetId="0">#REF!</definedName>
    <definedName name="PRINT_AREA_MI" localSheetId="13">#REF!</definedName>
    <definedName name="PRINT_AREA_MI">#REF!</definedName>
    <definedName name="_xlnm.Print_Titles" localSheetId="16">Pivot!$3:$3</definedName>
    <definedName name="_xlnm.Print_Titles">#N/A</definedName>
    <definedName name="PROFIT" localSheetId="33">#REF!</definedName>
    <definedName name="PROFIT" localSheetId="1">#REF!</definedName>
    <definedName name="PROFIT" localSheetId="19">#REF!</definedName>
    <definedName name="PROFIT" localSheetId="15">#REF!</definedName>
    <definedName name="PROFIT" localSheetId="34">#REF!</definedName>
    <definedName name="PROFIT" localSheetId="32">#REF!</definedName>
    <definedName name="PROFIT" localSheetId="35">#REF!</definedName>
    <definedName name="PROFIT" localSheetId="0">#REF!</definedName>
    <definedName name="PROFIT" localSheetId="13">#REF!</definedName>
    <definedName name="PROFIT">#REF!</definedName>
    <definedName name="profitloss">[61]working!$A$540:$C$813</definedName>
    <definedName name="queries" localSheetId="33">#REF!</definedName>
    <definedName name="queries" localSheetId="1">#REF!</definedName>
    <definedName name="queries" localSheetId="19">#REF!</definedName>
    <definedName name="queries" localSheetId="15">#REF!</definedName>
    <definedName name="queries" localSheetId="34">#REF!</definedName>
    <definedName name="queries" localSheetId="32">#REF!</definedName>
    <definedName name="queries" localSheetId="35">#REF!</definedName>
    <definedName name="queries" localSheetId="0">#REF!</definedName>
    <definedName name="queries" localSheetId="13">#REF!</definedName>
    <definedName name="queries">#REF!</definedName>
    <definedName name="QWW" localSheetId="33">[60]rough!#REF!</definedName>
    <definedName name="QWW" localSheetId="1">[60]rough!#REF!</definedName>
    <definedName name="QWW" localSheetId="19">[60]rough!#REF!</definedName>
    <definedName name="QWW" localSheetId="15">[60]rough!#REF!</definedName>
    <definedName name="QWW" localSheetId="34">[60]rough!#REF!</definedName>
    <definedName name="QWW" localSheetId="32">[60]rough!#REF!</definedName>
    <definedName name="QWW" localSheetId="35">[60]rough!#REF!</definedName>
    <definedName name="QWW" localSheetId="0">[60]rough!#REF!</definedName>
    <definedName name="QWW" localSheetId="13">[60]rough!#REF!</definedName>
    <definedName name="QWW">[60]rough!#REF!</definedName>
    <definedName name="Ranalysis" localSheetId="33">#REF!</definedName>
    <definedName name="Ranalysis" localSheetId="1">#REF!</definedName>
    <definedName name="Ranalysis" localSheetId="19">#REF!</definedName>
    <definedName name="Ranalysis" localSheetId="15">#REF!</definedName>
    <definedName name="Ranalysis" localSheetId="34">#REF!</definedName>
    <definedName name="Ranalysis" localSheetId="32">#REF!</definedName>
    <definedName name="Ranalysis" localSheetId="35">#REF!</definedName>
    <definedName name="Ranalysis" localSheetId="0">#REF!</definedName>
    <definedName name="Ranalysis" localSheetId="13">#REF!</definedName>
    <definedName name="Ranalysis">#REF!</definedName>
    <definedName name="RATIO" localSheetId="33">#REF!</definedName>
    <definedName name="RATIO" localSheetId="1">#REF!</definedName>
    <definedName name="RATIO" localSheetId="19">#REF!</definedName>
    <definedName name="RATIO" localSheetId="15">#REF!</definedName>
    <definedName name="RATIO" localSheetId="34">#REF!</definedName>
    <definedName name="RATIO" localSheetId="32">#REF!</definedName>
    <definedName name="RATIO" localSheetId="35">#REF!</definedName>
    <definedName name="RATIO" localSheetId="0">#REF!</definedName>
    <definedName name="RATIO" localSheetId="13">#REF!</definedName>
    <definedName name="RATIO">#REF!</definedName>
    <definedName name="RATIOS_4" localSheetId="33">#REF!</definedName>
    <definedName name="RATIOS_4" localSheetId="1">#REF!</definedName>
    <definedName name="RATIOS_4" localSheetId="19">#REF!</definedName>
    <definedName name="RATIOS_4" localSheetId="15">#REF!</definedName>
    <definedName name="RATIOS_4" localSheetId="34">#REF!</definedName>
    <definedName name="RATIOS_4" localSheetId="32">#REF!</definedName>
    <definedName name="RATIOS_4" localSheetId="35">#REF!</definedName>
    <definedName name="RATIOS_4" localSheetId="0">#REF!</definedName>
    <definedName name="RATIOS_4" localSheetId="13">#REF!</definedName>
    <definedName name="RATIOS_4">#REF!</definedName>
    <definedName name="RATIOS_5" localSheetId="33">#REF!</definedName>
    <definedName name="RATIOS_5" localSheetId="1">#REF!</definedName>
    <definedName name="RATIOS_5" localSheetId="19">#REF!</definedName>
    <definedName name="RATIOS_5" localSheetId="15">#REF!</definedName>
    <definedName name="RATIOS_5" localSheetId="34">#REF!</definedName>
    <definedName name="RATIOS_5" localSheetId="32">#REF!</definedName>
    <definedName name="RATIOS_5" localSheetId="35">#REF!</definedName>
    <definedName name="RATIOS_5" localSheetId="0">#REF!</definedName>
    <definedName name="RATIOS_5" localSheetId="13">#REF!</definedName>
    <definedName name="RATIOS_5">#REF!</definedName>
    <definedName name="RATIOS_6" localSheetId="33">#REF!</definedName>
    <definedName name="RATIOS_6" localSheetId="1">#REF!</definedName>
    <definedName name="RATIOS_6" localSheetId="19">#REF!</definedName>
    <definedName name="RATIOS_6" localSheetId="15">#REF!</definedName>
    <definedName name="RATIOS_6" localSheetId="34">#REF!</definedName>
    <definedName name="RATIOS_6" localSheetId="32">#REF!</definedName>
    <definedName name="RATIOS_6" localSheetId="35">#REF!</definedName>
    <definedName name="RATIOS_6" localSheetId="0">#REF!</definedName>
    <definedName name="RATIOS_6" localSheetId="13">#REF!</definedName>
    <definedName name="RATIOS_6">#REF!</definedName>
    <definedName name="RATIOS_7" localSheetId="33">#REF!</definedName>
    <definedName name="RATIOS_7" localSheetId="1">#REF!</definedName>
    <definedName name="RATIOS_7" localSheetId="19">#REF!</definedName>
    <definedName name="RATIOS_7" localSheetId="15">#REF!</definedName>
    <definedName name="RATIOS_7" localSheetId="34">#REF!</definedName>
    <definedName name="RATIOS_7" localSheetId="32">#REF!</definedName>
    <definedName name="RATIOS_7" localSheetId="35">#REF!</definedName>
    <definedName name="RATIOS_7" localSheetId="0">#REF!</definedName>
    <definedName name="RATIOS_7" localSheetId="13">#REF!</definedName>
    <definedName name="RATIOS_7">#REF!</definedName>
    <definedName name="RATIOS_8" localSheetId="33">#REF!</definedName>
    <definedName name="RATIOS_8" localSheetId="1">#REF!</definedName>
    <definedName name="RATIOS_8" localSheetId="19">#REF!</definedName>
    <definedName name="RATIOS_8" localSheetId="15">#REF!</definedName>
    <definedName name="RATIOS_8" localSheetId="34">#REF!</definedName>
    <definedName name="RATIOS_8" localSheetId="32">#REF!</definedName>
    <definedName name="RATIOS_8" localSheetId="35">#REF!</definedName>
    <definedName name="RATIOS_8" localSheetId="0">#REF!</definedName>
    <definedName name="RATIOS_8" localSheetId="13">#REF!</definedName>
    <definedName name="RATIOS_8">#REF!</definedName>
    <definedName name="Raw_material" localSheetId="1">#REF!</definedName>
    <definedName name="Raw_material" localSheetId="15">#REF!</definedName>
    <definedName name="Raw_material" localSheetId="0">#REF!</definedName>
    <definedName name="Raw_material">#REF!</definedName>
    <definedName name="Raw_material_99" localSheetId="1">#REF!</definedName>
    <definedName name="Raw_material_99" localSheetId="15">#REF!</definedName>
    <definedName name="Raw_material_99" localSheetId="0">#REF!</definedName>
    <definedName name="Raw_material_99">#REF!</definedName>
    <definedName name="RE_ADDITIONS" localSheetId="33">#REF!</definedName>
    <definedName name="RE_ADDITIONS" localSheetId="1">#REF!</definedName>
    <definedName name="RE_ADDITIONS" localSheetId="19">#REF!</definedName>
    <definedName name="RE_ADDITIONS" localSheetId="15">#REF!</definedName>
    <definedName name="RE_ADDITIONS" localSheetId="34">#REF!</definedName>
    <definedName name="RE_ADDITIONS" localSheetId="32">#REF!</definedName>
    <definedName name="RE_ADDITIONS" localSheetId="35">#REF!</definedName>
    <definedName name="RE_ADDITIONS" localSheetId="0">#REF!</definedName>
    <definedName name="RE_ADDITIONS" localSheetId="13">#REF!</definedName>
    <definedName name="RE_ADDITIONS">#REF!</definedName>
    <definedName name="RE_SLM" localSheetId="33">#REF!</definedName>
    <definedName name="RE_SLM" localSheetId="1">#REF!</definedName>
    <definedName name="RE_SLM" localSheetId="19">#REF!</definedName>
    <definedName name="RE_SLM" localSheetId="15">#REF!</definedName>
    <definedName name="RE_SLM" localSheetId="34">#REF!</definedName>
    <definedName name="RE_SLM" localSheetId="32">#REF!</definedName>
    <definedName name="RE_SLM" localSheetId="35">#REF!</definedName>
    <definedName name="RE_SLM" localSheetId="0">#REF!</definedName>
    <definedName name="RE_SLM" localSheetId="13">#REF!</definedName>
    <definedName name="RE_SLM">#REF!</definedName>
    <definedName name="RE_SLM10" localSheetId="33">#REF!</definedName>
    <definedName name="RE_SLM10" localSheetId="1">#REF!</definedName>
    <definedName name="RE_SLM10" localSheetId="19">#REF!</definedName>
    <definedName name="RE_SLM10" localSheetId="15">#REF!</definedName>
    <definedName name="RE_SLM10" localSheetId="34">#REF!</definedName>
    <definedName name="RE_SLM10" localSheetId="32">#REF!</definedName>
    <definedName name="RE_SLM10" localSheetId="35">#REF!</definedName>
    <definedName name="RE_SLM10" localSheetId="0">#REF!</definedName>
    <definedName name="RE_SLM10" localSheetId="13">#REF!</definedName>
    <definedName name="RE_SLM10">#REF!</definedName>
    <definedName name="RE_SLM15" localSheetId="33">#REF!</definedName>
    <definedName name="RE_SLM15" localSheetId="1">#REF!</definedName>
    <definedName name="RE_SLM15" localSheetId="19">#REF!</definedName>
    <definedName name="RE_SLM15" localSheetId="15">#REF!</definedName>
    <definedName name="RE_SLM15" localSheetId="34">#REF!</definedName>
    <definedName name="RE_SLM15" localSheetId="32">#REF!</definedName>
    <definedName name="RE_SLM15" localSheetId="35">#REF!</definedName>
    <definedName name="RE_SLM15" localSheetId="0">#REF!</definedName>
    <definedName name="RE_SLM15" localSheetId="13">#REF!</definedName>
    <definedName name="RE_SLM15">#REF!</definedName>
    <definedName name="RE_WDV" localSheetId="33">#REF!</definedName>
    <definedName name="RE_WDV" localSheetId="1">#REF!</definedName>
    <definedName name="RE_WDV" localSheetId="19">#REF!</definedName>
    <definedName name="RE_WDV" localSheetId="15">#REF!</definedName>
    <definedName name="RE_WDV" localSheetId="34">#REF!</definedName>
    <definedName name="RE_WDV" localSheetId="32">#REF!</definedName>
    <definedName name="RE_WDV" localSheetId="35">#REF!</definedName>
    <definedName name="RE_WDV" localSheetId="0">#REF!</definedName>
    <definedName name="RE_WDV" localSheetId="13">#REF!</definedName>
    <definedName name="RE_WDV">#REF!</definedName>
    <definedName name="Realisations_salevalue" localSheetId="1">#REF!</definedName>
    <definedName name="Realisations_salevalue" localSheetId="15">#REF!</definedName>
    <definedName name="Realisations_salevalue" localSheetId="0">#REF!</definedName>
    <definedName name="Realisations_salevalue">#REF!</definedName>
    <definedName name="ReceiptsNL" localSheetId="33">#REF!</definedName>
    <definedName name="ReceiptsNL" localSheetId="1">#REF!</definedName>
    <definedName name="ReceiptsNL" localSheetId="19">#REF!</definedName>
    <definedName name="ReceiptsNL" localSheetId="15">#REF!</definedName>
    <definedName name="ReceiptsNL" localSheetId="32">#REF!</definedName>
    <definedName name="ReceiptsNL" localSheetId="35">#REF!</definedName>
    <definedName name="ReceiptsNL" localSheetId="0">#REF!</definedName>
    <definedName name="ReceiptsNL" localSheetId="13">#REF!</definedName>
    <definedName name="ReceiptsNL">#REF!</definedName>
    <definedName name="ReceiptsSummary" localSheetId="33">#REF!</definedName>
    <definedName name="ReceiptsSummary" localSheetId="1">#REF!</definedName>
    <definedName name="ReceiptsSummary" localSheetId="19">#REF!</definedName>
    <definedName name="ReceiptsSummary" localSheetId="15">#REF!</definedName>
    <definedName name="ReceiptsSummary" localSheetId="32">#REF!</definedName>
    <definedName name="ReceiptsSummary" localSheetId="35">#REF!</definedName>
    <definedName name="ReceiptsSummary" localSheetId="0">#REF!</definedName>
    <definedName name="ReceiptsSummary" localSheetId="13">#REF!</definedName>
    <definedName name="ReceiptsSummary">#REF!</definedName>
    <definedName name="ReceiptsVAT" localSheetId="33">#REF!</definedName>
    <definedName name="ReceiptsVAT" localSheetId="1">#REF!</definedName>
    <definedName name="ReceiptsVAT" localSheetId="19">#REF!</definedName>
    <definedName name="ReceiptsVAT" localSheetId="15">#REF!</definedName>
    <definedName name="ReceiptsVAT" localSheetId="32">#REF!</definedName>
    <definedName name="ReceiptsVAT" localSheetId="35">#REF!</definedName>
    <definedName name="ReceiptsVAT" localSheetId="0">#REF!</definedName>
    <definedName name="ReceiptsVAT" localSheetId="13">#REF!</definedName>
    <definedName name="ReceiptsVAT">#REF!</definedName>
    <definedName name="ReceiptsVATable" localSheetId="33">#REF!</definedName>
    <definedName name="ReceiptsVATable" localSheetId="1">#REF!</definedName>
    <definedName name="ReceiptsVATable" localSheetId="19">#REF!</definedName>
    <definedName name="ReceiptsVATable" localSheetId="15">#REF!</definedName>
    <definedName name="ReceiptsVATable" localSheetId="32">#REF!</definedName>
    <definedName name="ReceiptsVATable" localSheetId="35">#REF!</definedName>
    <definedName name="ReceiptsVATable" localSheetId="0">#REF!</definedName>
    <definedName name="ReceiptsVATable" localSheetId="13">#REF!</definedName>
    <definedName name="ReceiptsVATable">#REF!</definedName>
    <definedName name="REIMB" localSheetId="33">[37]Volumes!#REF!</definedName>
    <definedName name="REIMB" localSheetId="1">[37]Volumes!#REF!</definedName>
    <definedName name="REIMB" localSheetId="19">[37]Volumes!#REF!</definedName>
    <definedName name="REIMB" localSheetId="15">[37]Volumes!#REF!</definedName>
    <definedName name="REIMB" localSheetId="34">[37]Volumes!#REF!</definedName>
    <definedName name="REIMB" localSheetId="35">[37]Volumes!#REF!</definedName>
    <definedName name="REIMB" localSheetId="0">[37]Volumes!#REF!</definedName>
    <definedName name="REIMB" localSheetId="13">[37]Volumes!#REF!</definedName>
    <definedName name="REIMB">[37]Volumes!#REF!</definedName>
    <definedName name="RMB">[62]Data!$D$10</definedName>
    <definedName name="ro">[63]Master!$N$2</definedName>
    <definedName name="roshan" localSheetId="33">#REF!</definedName>
    <definedName name="roshan" localSheetId="1">#REF!</definedName>
    <definedName name="roshan" localSheetId="19">#REF!</definedName>
    <definedName name="roshan" localSheetId="15">#REF!</definedName>
    <definedName name="roshan" localSheetId="34">#REF!</definedName>
    <definedName name="roshan" localSheetId="32">#REF!</definedName>
    <definedName name="roshan" localSheetId="35">#REF!</definedName>
    <definedName name="roshan" localSheetId="0">#REF!</definedName>
    <definedName name="roshan" localSheetId="13">#REF!</definedName>
    <definedName name="roshan">#REF!</definedName>
    <definedName name="S" localSheetId="33">'[64]pharma - TB'!#REF!</definedName>
    <definedName name="S" localSheetId="1">'[64]pharma - TB'!#REF!</definedName>
    <definedName name="S" localSheetId="19">'[64]pharma - TB'!#REF!</definedName>
    <definedName name="S" localSheetId="15">'[64]pharma - TB'!#REF!</definedName>
    <definedName name="S" localSheetId="34">'[65]pharma - TB'!#REF!</definedName>
    <definedName name="S" localSheetId="32">'[64]pharma - TB'!#REF!</definedName>
    <definedName name="S" localSheetId="35">'[64]pharma - TB'!#REF!</definedName>
    <definedName name="S" localSheetId="0">'[64]pharma - TB'!#REF!</definedName>
    <definedName name="S" localSheetId="13">'[64]pharma - TB'!#REF!</definedName>
    <definedName name="S">'[64]pharma - TB'!#REF!</definedName>
    <definedName name="S_5" localSheetId="1">#REF!</definedName>
    <definedName name="S_5" localSheetId="15">#REF!</definedName>
    <definedName name="S_5" localSheetId="34">#REF!</definedName>
    <definedName name="S_5" localSheetId="0">#REF!</definedName>
    <definedName name="S_5">#REF!</definedName>
    <definedName name="SA" localSheetId="33">MATCH(0.01,[43]!End_Bal,-1)+1</definedName>
    <definedName name="SA" localSheetId="19">MATCH(0.01,[43]!End_Bal,-1)+1</definedName>
    <definedName name="sa" localSheetId="34">'[41]TB APJ'!$B$97</definedName>
    <definedName name="SA" localSheetId="32">MATCH(0.01,[44]!End_Bal,-1)+1</definedName>
    <definedName name="SA" localSheetId="35">MATCH(0.01,[44]!End_Bal,-1)+1</definedName>
    <definedName name="SA" localSheetId="13">MATCH(0.01,[43]!End_Bal,-1)+1</definedName>
    <definedName name="SA">MATCH(0.01,[45]!End_Bal,-1)+1</definedName>
    <definedName name="SADFDSADFSADFD" localSheetId="1">#REF!</definedName>
    <definedName name="SADFDSADFSADFD" localSheetId="31">#REF!</definedName>
    <definedName name="SADFDSADFSADFD" localSheetId="15">#REF!</definedName>
    <definedName name="SADFDSADFSADFD" localSheetId="34">#REF!</definedName>
    <definedName name="SADFDSADFSADFD" localSheetId="0">#REF!</definedName>
    <definedName name="SADFDSADFSADFD">#REF!</definedName>
    <definedName name="SALES" localSheetId="1">#REF!</definedName>
    <definedName name="SALES" localSheetId="15">#REF!</definedName>
    <definedName name="SALES" localSheetId="34">#REF!</definedName>
    <definedName name="SALES" localSheetId="0">#REF!</definedName>
    <definedName name="SALES">#REF!</definedName>
    <definedName name="salestax">[40]M_T!$H$6</definedName>
    <definedName name="sbi_facility_99" localSheetId="1">#REF!</definedName>
    <definedName name="sbi_facility_99" localSheetId="15">#REF!</definedName>
    <definedName name="sbi_facility_99" localSheetId="34">#REF!</definedName>
    <definedName name="sbi_facility_99" localSheetId="0">#REF!</definedName>
    <definedName name="sbi_facility_99">#REF!</definedName>
    <definedName name="Sc">[63]Master!$M$6</definedName>
    <definedName name="sch_131415" localSheetId="1">#REF!</definedName>
    <definedName name="sch_131415" localSheetId="15">#REF!</definedName>
    <definedName name="sch_131415" localSheetId="34">#REF!</definedName>
    <definedName name="sch_131415" localSheetId="0">#REF!</definedName>
    <definedName name="sch_131415">#REF!</definedName>
    <definedName name="sch_13141516" localSheetId="1">#REF!</definedName>
    <definedName name="sch_13141516" localSheetId="15">#REF!</definedName>
    <definedName name="sch_13141516" localSheetId="34">#REF!</definedName>
    <definedName name="sch_13141516" localSheetId="0">#REF!</definedName>
    <definedName name="sch_13141516">#REF!</definedName>
    <definedName name="Sch_191" localSheetId="1">#REF!</definedName>
    <definedName name="Sch_191" localSheetId="15">#REF!</definedName>
    <definedName name="Sch_191" localSheetId="34">#REF!</definedName>
    <definedName name="Sch_191" localSheetId="0">#REF!</definedName>
    <definedName name="Sch_191">#REF!</definedName>
    <definedName name="sch_192" localSheetId="1">#REF!</definedName>
    <definedName name="sch_192" localSheetId="15">#REF!</definedName>
    <definedName name="sch_192" localSheetId="0">#REF!</definedName>
    <definedName name="sch_192">#REF!</definedName>
    <definedName name="sch_193" localSheetId="1">#REF!</definedName>
    <definedName name="sch_193" localSheetId="15">#REF!</definedName>
    <definedName name="sch_193" localSheetId="0">#REF!</definedName>
    <definedName name="sch_193">#REF!</definedName>
    <definedName name="sch_194" localSheetId="1">#REF!</definedName>
    <definedName name="sch_194" localSheetId="15">#REF!</definedName>
    <definedName name="sch_194" localSheetId="0">#REF!</definedName>
    <definedName name="sch_194">#REF!</definedName>
    <definedName name="sch_195" localSheetId="1">#REF!</definedName>
    <definedName name="sch_195" localSheetId="15">#REF!</definedName>
    <definedName name="sch_195" localSheetId="0">#REF!</definedName>
    <definedName name="sch_195">#REF!</definedName>
    <definedName name="sch_196" localSheetId="1">#REF!</definedName>
    <definedName name="sch_196" localSheetId="15">#REF!</definedName>
    <definedName name="sch_196" localSheetId="0">#REF!</definedName>
    <definedName name="sch_196">#REF!</definedName>
    <definedName name="Sch_1a" localSheetId="1">#REF!</definedName>
    <definedName name="Sch_1a" localSheetId="15">#REF!</definedName>
    <definedName name="Sch_1a" localSheetId="0">#REF!</definedName>
    <definedName name="Sch_1a">#REF!</definedName>
    <definedName name="sch_2" localSheetId="1">#REF!</definedName>
    <definedName name="sch_2" localSheetId="15">#REF!</definedName>
    <definedName name="sch_2" localSheetId="0">#REF!</definedName>
    <definedName name="sch_2">#REF!</definedName>
    <definedName name="Sch_61" localSheetId="1">#REF!</definedName>
    <definedName name="Sch_61" localSheetId="15">#REF!</definedName>
    <definedName name="Sch_61" localSheetId="0">#REF!</definedName>
    <definedName name="Sch_61">#REF!</definedName>
    <definedName name="Sch_62" localSheetId="1">#REF!</definedName>
    <definedName name="Sch_62" localSheetId="15">#REF!</definedName>
    <definedName name="Sch_62" localSheetId="0">#REF!</definedName>
    <definedName name="Sch_62">#REF!</definedName>
    <definedName name="sch_63" localSheetId="1">#REF!</definedName>
    <definedName name="sch_63" localSheetId="15">#REF!</definedName>
    <definedName name="sch_63" localSheetId="0">#REF!</definedName>
    <definedName name="sch_63">#REF!</definedName>
    <definedName name="sch_789" localSheetId="1">#REF!</definedName>
    <definedName name="sch_789" localSheetId="15">#REF!</definedName>
    <definedName name="sch_789" localSheetId="0">#REF!</definedName>
    <definedName name="sch_789">#REF!</definedName>
    <definedName name="SCH1_3" localSheetId="1">#REF!</definedName>
    <definedName name="SCH1_3" localSheetId="15">#REF!</definedName>
    <definedName name="SCH1_3" localSheetId="0">#REF!</definedName>
    <definedName name="SCH1_3">#REF!</definedName>
    <definedName name="SCH1_TO_3" localSheetId="1">[58]tb!#REF!</definedName>
    <definedName name="SCH1_TO_3" localSheetId="15">[58]tb!#REF!</definedName>
    <definedName name="SCH1_TO_3" localSheetId="0">[58]tb!#REF!</definedName>
    <definedName name="SCH1_TO_3">[58]tb!#REF!</definedName>
    <definedName name="SCH4_5" localSheetId="1">#REF!</definedName>
    <definedName name="SCH4_5" localSheetId="15">#REF!</definedName>
    <definedName name="SCH4_5" localSheetId="34">#REF!</definedName>
    <definedName name="SCH4_5" localSheetId="0">#REF!</definedName>
    <definedName name="SCH4_5">#REF!</definedName>
    <definedName name="SCH4_T0_5" localSheetId="1">[58]tb!#REF!</definedName>
    <definedName name="SCH4_T0_5" localSheetId="15">[58]tb!#REF!</definedName>
    <definedName name="SCH4_T0_5" localSheetId="34">[58]tb!#REF!</definedName>
    <definedName name="SCH4_T0_5" localSheetId="0">[58]tb!#REF!</definedName>
    <definedName name="SCH4_T0_5">[58]tb!#REF!</definedName>
    <definedName name="SCHE" localSheetId="33">#REF!</definedName>
    <definedName name="SCHE" localSheetId="1">#REF!</definedName>
    <definedName name="SCHE" localSheetId="19">#REF!</definedName>
    <definedName name="SCHE" localSheetId="15">#REF!</definedName>
    <definedName name="SCHE" localSheetId="34">#REF!</definedName>
    <definedName name="SCHE" localSheetId="32">#REF!</definedName>
    <definedName name="SCHE" localSheetId="35">#REF!</definedName>
    <definedName name="SCHE" localSheetId="0">#REF!</definedName>
    <definedName name="SCHE" localSheetId="13">#REF!</definedName>
    <definedName name="SCHE">#REF!</definedName>
    <definedName name="SDAFASFASFSAFSFSAFSAF" localSheetId="1">#REF!</definedName>
    <definedName name="SDAFASFASFSAFSFSAFSAF" localSheetId="15">#REF!</definedName>
    <definedName name="SDAFASFASFSAFSFSAFSAF" localSheetId="0">#REF!</definedName>
    <definedName name="SDAFASFASFSAFSFSAFSAF">#REF!</definedName>
    <definedName name="sdfdsadfs" localSheetId="1">#REF!</definedName>
    <definedName name="sdfdsadfs" localSheetId="15">#REF!</definedName>
    <definedName name="sdfdsadfs" localSheetId="0">#REF!</definedName>
    <definedName name="sdfdsadfs">#REF!</definedName>
    <definedName name="SEctionCode" localSheetId="33">[20]Challan!$IV$819:$IV$832</definedName>
    <definedName name="SEctionCode" localSheetId="19">[20]Challan!$IV$819:$IV$832</definedName>
    <definedName name="SEctionCode" localSheetId="32">[21]Challan!$IV$819:$IV$832</definedName>
    <definedName name="SEctionCode" localSheetId="35">[21]Challan!$IV$819:$IV$832</definedName>
    <definedName name="SEctionCode" localSheetId="13">[20]Challan!$IV$819:$IV$832</definedName>
    <definedName name="SEctionCode">[22]Challan!$IV$819:$IV$832</definedName>
    <definedName name="SECURITY" localSheetId="33">#REF!</definedName>
    <definedName name="SECURITY" localSheetId="1">#REF!</definedName>
    <definedName name="SECURITY" localSheetId="19">#REF!</definedName>
    <definedName name="SECURITY" localSheetId="15">#REF!</definedName>
    <definedName name="SECURITY" localSheetId="34">#REF!</definedName>
    <definedName name="SECURITY" localSheetId="32">#REF!</definedName>
    <definedName name="SECURITY" localSheetId="35">#REF!</definedName>
    <definedName name="SECURITY" localSheetId="0">#REF!</definedName>
    <definedName name="SECURITY" localSheetId="13">#REF!</definedName>
    <definedName name="SECURITY">#REF!</definedName>
    <definedName name="Security_4" localSheetId="33">#REF!</definedName>
    <definedName name="Security_4" localSheetId="1">#REF!</definedName>
    <definedName name="Security_4" localSheetId="19">#REF!</definedName>
    <definedName name="Security_4" localSheetId="15">#REF!</definedName>
    <definedName name="Security_4" localSheetId="34">#REF!</definedName>
    <definedName name="Security_4" localSheetId="32">#REF!</definedName>
    <definedName name="Security_4" localSheetId="35">#REF!</definedName>
    <definedName name="Security_4" localSheetId="0">#REF!</definedName>
    <definedName name="Security_4" localSheetId="13">#REF!</definedName>
    <definedName name="Security_4">#REF!</definedName>
    <definedName name="SECURITY_5" localSheetId="33">#REF!</definedName>
    <definedName name="SECURITY_5" localSheetId="1">#REF!</definedName>
    <definedName name="SECURITY_5" localSheetId="19">#REF!</definedName>
    <definedName name="SECURITY_5" localSheetId="15">#REF!</definedName>
    <definedName name="SECURITY_5" localSheetId="34">#REF!</definedName>
    <definedName name="SECURITY_5" localSheetId="32">#REF!</definedName>
    <definedName name="SECURITY_5" localSheetId="35">#REF!</definedName>
    <definedName name="SECURITY_5" localSheetId="0">#REF!</definedName>
    <definedName name="SECURITY_5" localSheetId="13">#REF!</definedName>
    <definedName name="SECURITY_5">#REF!</definedName>
    <definedName name="SECURITY_6" localSheetId="33">#REF!</definedName>
    <definedName name="SECURITY_6" localSheetId="1">#REF!</definedName>
    <definedName name="SECURITY_6" localSheetId="19">#REF!</definedName>
    <definedName name="SECURITY_6" localSheetId="15">#REF!</definedName>
    <definedName name="SECURITY_6" localSheetId="34">#REF!</definedName>
    <definedName name="SECURITY_6" localSheetId="32">#REF!</definedName>
    <definedName name="SECURITY_6" localSheetId="35">#REF!</definedName>
    <definedName name="SECURITY_6" localSheetId="0">#REF!</definedName>
    <definedName name="SECURITY_6" localSheetId="13">#REF!</definedName>
    <definedName name="SECURITY_6">#REF!</definedName>
    <definedName name="SECURITY_7" localSheetId="33">#REF!</definedName>
    <definedName name="SECURITY_7" localSheetId="1">#REF!</definedName>
    <definedName name="SECURITY_7" localSheetId="19">#REF!</definedName>
    <definedName name="SECURITY_7" localSheetId="15">#REF!</definedName>
    <definedName name="SECURITY_7" localSheetId="34">#REF!</definedName>
    <definedName name="SECURITY_7" localSheetId="32">#REF!</definedName>
    <definedName name="SECURITY_7" localSheetId="35">#REF!</definedName>
    <definedName name="SECURITY_7" localSheetId="0">#REF!</definedName>
    <definedName name="SECURITY_7" localSheetId="13">#REF!</definedName>
    <definedName name="SECURITY_7">#REF!</definedName>
    <definedName name="SECURITY_8" localSheetId="33">#REF!</definedName>
    <definedName name="SECURITY_8" localSheetId="1">#REF!</definedName>
    <definedName name="SECURITY_8" localSheetId="19">#REF!</definedName>
    <definedName name="SECURITY_8" localSheetId="15">#REF!</definedName>
    <definedName name="SECURITY_8" localSheetId="34">#REF!</definedName>
    <definedName name="SECURITY_8" localSheetId="32">#REF!</definedName>
    <definedName name="SECURITY_8" localSheetId="35">#REF!</definedName>
    <definedName name="SECURITY_8" localSheetId="0">#REF!</definedName>
    <definedName name="SECURITY_8" localSheetId="13">#REF!</definedName>
    <definedName name="SECURITY_8">#REF!</definedName>
    <definedName name="SFDSAFSDAFSADFA" localSheetId="1">#REF!</definedName>
    <definedName name="SFDSAFSDAFSADFA" localSheetId="15">#REF!</definedName>
    <definedName name="SFDSAFSDAFSADFA" localSheetId="0">#REF!</definedName>
    <definedName name="SFDSAFSDAFSADFA">#REF!</definedName>
    <definedName name="SJLN" localSheetId="33">#REF!</definedName>
    <definedName name="SJLN" localSheetId="1">#REF!</definedName>
    <definedName name="SJLN" localSheetId="19">#REF!</definedName>
    <definedName name="SJLN" localSheetId="15">#REF!</definedName>
    <definedName name="SJLN" localSheetId="32">#REF!</definedName>
    <definedName name="SJLN" localSheetId="35">#REF!</definedName>
    <definedName name="SJLN" localSheetId="0">#REF!</definedName>
    <definedName name="SJLN" localSheetId="13">#REF!</definedName>
    <definedName name="SJLN">#REF!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s" localSheetId="3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 localSheetId="32"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 localSheetId="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 localSheetId="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sss" localSheetId="1">#REF!</definedName>
    <definedName name="sss" localSheetId="31">#REF!</definedName>
    <definedName name="sss" localSheetId="15">#REF!</definedName>
    <definedName name="sss" localSheetId="34">#REF!</definedName>
    <definedName name="sss" localSheetId="0">#REF!</definedName>
    <definedName name="sss">#REF!</definedName>
    <definedName name="st" localSheetId="33">[37]Volumes!#REF!</definedName>
    <definedName name="st" localSheetId="1">[37]Volumes!#REF!</definedName>
    <definedName name="st" localSheetId="19">[37]Volumes!#REF!</definedName>
    <definedName name="st" localSheetId="15">[37]Volumes!#REF!</definedName>
    <definedName name="st" localSheetId="34">[37]Volumes!#REF!</definedName>
    <definedName name="st" localSheetId="32">[37]Volumes!#REF!</definedName>
    <definedName name="st" localSheetId="35">[37]Volumes!#REF!</definedName>
    <definedName name="st" localSheetId="0">[37]Volumes!#REF!</definedName>
    <definedName name="st" localSheetId="13">[37]Volumes!#REF!</definedName>
    <definedName name="st">[37]Volumes!#REF!</definedName>
    <definedName name="STATES" localSheetId="33">#REF!</definedName>
    <definedName name="STATES" localSheetId="1">#REF!</definedName>
    <definedName name="STATES" localSheetId="19">#REF!</definedName>
    <definedName name="STATES" localSheetId="15">#REF!</definedName>
    <definedName name="STATES" localSheetId="34">#REF!</definedName>
    <definedName name="STATES" localSheetId="32">#REF!</definedName>
    <definedName name="STATES" localSheetId="35">#REF!</definedName>
    <definedName name="STATES" localSheetId="0">#REF!</definedName>
    <definedName name="STATES" localSheetId="13">#REF!</definedName>
    <definedName name="STATES">#REF!</definedName>
    <definedName name="STATES1" localSheetId="33">#REF!</definedName>
    <definedName name="STATES1" localSheetId="1">#REF!</definedName>
    <definedName name="STATES1" localSheetId="19">#REF!</definedName>
    <definedName name="STATES1" localSheetId="15">#REF!</definedName>
    <definedName name="STATES1" localSheetId="34">#REF!</definedName>
    <definedName name="STATES1" localSheetId="32">#REF!</definedName>
    <definedName name="STATES1" localSheetId="35">#REF!</definedName>
    <definedName name="STATES1" localSheetId="0">#REF!</definedName>
    <definedName name="STATES1" localSheetId="13">#REF!</definedName>
    <definedName name="STATES1">#REF!</definedName>
    <definedName name="Steel" localSheetId="33">#REF!</definedName>
    <definedName name="Steel" localSheetId="1">#REF!</definedName>
    <definedName name="Steel" localSheetId="19">#REF!</definedName>
    <definedName name="Steel" localSheetId="15">#REF!</definedName>
    <definedName name="Steel" localSheetId="34">#REF!</definedName>
    <definedName name="Steel" localSheetId="32">#REF!</definedName>
    <definedName name="Steel" localSheetId="35">#REF!</definedName>
    <definedName name="Steel" localSheetId="0">#REF!</definedName>
    <definedName name="Steel" localSheetId="13">#REF!</definedName>
    <definedName name="Steel">#REF!</definedName>
    <definedName name="Stocks" localSheetId="1">#REF!</definedName>
    <definedName name="Stocks" localSheetId="15">#REF!</definedName>
    <definedName name="Stocks" localSheetId="0">#REF!</definedName>
    <definedName name="Stocks">#REF!</definedName>
    <definedName name="SUMM" localSheetId="1">#REF!</definedName>
    <definedName name="SUMM" localSheetId="31">#REF!</definedName>
    <definedName name="SUMM" localSheetId="15">#REF!</definedName>
    <definedName name="SUMM" localSheetId="34">#REF!</definedName>
    <definedName name="SUMM" localSheetId="0">#REF!</definedName>
    <definedName name="SUMM">#REF!</definedName>
    <definedName name="SUMM_BILL_AMT" localSheetId="1">#REF!</definedName>
    <definedName name="SUMM_BILL_AMT" localSheetId="31">#REF!</definedName>
    <definedName name="SUMM_BILL_AMT" localSheetId="15">#REF!</definedName>
    <definedName name="SUMM_BILL_AMT" localSheetId="34">#REF!</definedName>
    <definedName name="SUMM_BILL_AMT" localSheetId="0">#REF!</definedName>
    <definedName name="SUMM_BILL_AMT">#REF!</definedName>
    <definedName name="SUMM_CD" localSheetId="1">#REF!</definedName>
    <definedName name="SUMM_CD" localSheetId="31">#REF!</definedName>
    <definedName name="SUMM_CD" localSheetId="15">#REF!</definedName>
    <definedName name="SUMM_CD" localSheetId="34">#REF!</definedName>
    <definedName name="SUMM_CD" localSheetId="0">#REF!</definedName>
    <definedName name="SUMM_CD">#REF!</definedName>
    <definedName name="SUMM_CF" localSheetId="1">#REF!</definedName>
    <definedName name="SUMM_CF" localSheetId="31">#REF!</definedName>
    <definedName name="SUMM_CF" localSheetId="15">#REF!</definedName>
    <definedName name="SUMM_CF" localSheetId="34">#REF!</definedName>
    <definedName name="SUMM_CF" localSheetId="0">#REF!</definedName>
    <definedName name="SUMM_CF">#REF!</definedName>
    <definedName name="SUMM_DATE" localSheetId="1">#REF!</definedName>
    <definedName name="SUMM_DATE" localSheetId="31">#REF!</definedName>
    <definedName name="SUMM_DATE" localSheetId="15">#REF!</definedName>
    <definedName name="SUMM_DATE" localSheetId="34">#REF!</definedName>
    <definedName name="SUMM_DATE" localSheetId="0">#REF!</definedName>
    <definedName name="SUMM_DATE">#REF!</definedName>
    <definedName name="SUMM_DET" localSheetId="1">#REF!</definedName>
    <definedName name="SUMM_DET" localSheetId="31">#REF!</definedName>
    <definedName name="SUMM_DET" localSheetId="15">#REF!</definedName>
    <definedName name="SUMM_DET" localSheetId="34">#REF!</definedName>
    <definedName name="SUMM_DET" localSheetId="0">#REF!</definedName>
    <definedName name="SUMM_DET">#REF!</definedName>
    <definedName name="SUMM_FRT" localSheetId="1">#REF!</definedName>
    <definedName name="SUMM_FRT" localSheetId="31">#REF!</definedName>
    <definedName name="SUMM_FRT" localSheetId="15">#REF!</definedName>
    <definedName name="SUMM_FRT" localSheetId="34">#REF!</definedName>
    <definedName name="SUMM_FRT" localSheetId="0">#REF!</definedName>
    <definedName name="SUMM_FRT">#REF!</definedName>
    <definedName name="SUMM_QTY" localSheetId="1">#REF!</definedName>
    <definedName name="SUMM_QTY" localSheetId="31">#REF!</definedName>
    <definedName name="SUMM_QTY" localSheetId="15">#REF!</definedName>
    <definedName name="SUMM_QTY" localSheetId="34">#REF!</definedName>
    <definedName name="SUMM_QTY" localSheetId="0">#REF!</definedName>
    <definedName name="SUMM_QTY">#REF!</definedName>
    <definedName name="SUMM_TOT" localSheetId="1">#REF!</definedName>
    <definedName name="SUMM_TOT" localSheetId="31">#REF!</definedName>
    <definedName name="SUMM_TOT" localSheetId="15">#REF!</definedName>
    <definedName name="SUMM_TOT" localSheetId="34">#REF!</definedName>
    <definedName name="SUMM_TOT" localSheetId="0">#REF!</definedName>
    <definedName name="SUMM_TOT">#REF!</definedName>
    <definedName name="SUMM_VAL" localSheetId="1">#REF!</definedName>
    <definedName name="SUMM_VAL" localSheetId="31">#REF!</definedName>
    <definedName name="SUMM_VAL" localSheetId="15">#REF!</definedName>
    <definedName name="SUMM_VAL" localSheetId="34">#REF!</definedName>
    <definedName name="SUMM_VAL" localSheetId="0">#REF!</definedName>
    <definedName name="SUMM_VAL">#REF!</definedName>
    <definedName name="summary" localSheetId="1">#REF!</definedName>
    <definedName name="summary" localSheetId="15">#REF!</definedName>
    <definedName name="summary" localSheetId="0">#REF!</definedName>
    <definedName name="summary">#REF!</definedName>
    <definedName name="SUN_D" localSheetId="1">#REF!</definedName>
    <definedName name="SUN_D" localSheetId="31">#REF!</definedName>
    <definedName name="SUN_D" localSheetId="15">#REF!</definedName>
    <definedName name="SUN_D" localSheetId="34">#REF!</definedName>
    <definedName name="SUN_D" localSheetId="0">#REF!</definedName>
    <definedName name="SUN_D">#REF!</definedName>
    <definedName name="SWM" localSheetId="1">#REF!</definedName>
    <definedName name="SWM" localSheetId="15">#REF!</definedName>
    <definedName name="SWM" localSheetId="0">#REF!</definedName>
    <definedName name="SWM">#REF!</definedName>
    <definedName name="SYSSSS" localSheetId="1">#REF!</definedName>
    <definedName name="SYSSSS" localSheetId="31">#REF!</definedName>
    <definedName name="SYSSSS" localSheetId="15">#REF!</definedName>
    <definedName name="SYSSSS" localSheetId="34">#REF!</definedName>
    <definedName name="SYSSSS" localSheetId="0">#REF!</definedName>
    <definedName name="SYSSSS">#REF!</definedName>
    <definedName name="T" localSheetId="33">#REF!</definedName>
    <definedName name="T" localSheetId="1">#REF!</definedName>
    <definedName name="T" localSheetId="19">#REF!</definedName>
    <definedName name="T" localSheetId="15">#REF!</definedName>
    <definedName name="T" localSheetId="32">#REF!</definedName>
    <definedName name="T" localSheetId="35">#REF!</definedName>
    <definedName name="T" localSheetId="0">#REF!</definedName>
    <definedName name="T" localSheetId="13">#REF!</definedName>
    <definedName name="T">#REF!</definedName>
    <definedName name="TADes">[25]Masters!$C$22</definedName>
    <definedName name="TAFName">[24]Masters!$C$19</definedName>
    <definedName name="TAMNo">[24]Masters!$C$23</definedName>
    <definedName name="TAName">[24]Masters!$C$20</definedName>
    <definedName name="TAPlace">[24]Masters!$C$43</definedName>
    <definedName name="TAQua">[25]Masters!$C$21</definedName>
    <definedName name="Target" localSheetId="1">#REF!</definedName>
    <definedName name="Target" localSheetId="15">#REF!</definedName>
    <definedName name="Target" localSheetId="34">#REF!</definedName>
    <definedName name="Target" localSheetId="0">#REF!</definedName>
    <definedName name="Target">#REF!</definedName>
    <definedName name="tax">'[66]BS&amp;PLA'!$B$578:$H$664</definedName>
    <definedName name="Tax_MAT" localSheetId="1">#REF!</definedName>
    <definedName name="Tax_MAT" localSheetId="15">#REF!</definedName>
    <definedName name="Tax_MAT" localSheetId="34">#REF!</definedName>
    <definedName name="Tax_MAT" localSheetId="0">#REF!</definedName>
    <definedName name="Tax_MAT">#REF!</definedName>
    <definedName name="TaxAudAdd">[24]Masters!$C$24</definedName>
    <definedName name="TaxAuditDate">[24]Masters!$C$40</definedName>
    <definedName name="TaxFreeAllowance" localSheetId="33">#REF!</definedName>
    <definedName name="TaxFreeAllowance" localSheetId="1">#REF!</definedName>
    <definedName name="TaxFreeAllowance" localSheetId="19">#REF!</definedName>
    <definedName name="TaxFreeAllowance" localSheetId="15">#REF!</definedName>
    <definedName name="TaxFreeAllowance" localSheetId="34">#REF!</definedName>
    <definedName name="TaxFreeAllowance" localSheetId="32">#REF!</definedName>
    <definedName name="TaxFreeAllowance" localSheetId="35">#REF!</definedName>
    <definedName name="TaxFreeAllowance" localSheetId="0">#REF!</definedName>
    <definedName name="TaxFreeAllowance" localSheetId="13">#REF!</definedName>
    <definedName name="TaxFreeAllowance">#REF!</definedName>
    <definedName name="TEST0" localSheetId="33">#REF!</definedName>
    <definedName name="TEST0" localSheetId="1">#REF!</definedName>
    <definedName name="TEST0" localSheetId="19">#REF!</definedName>
    <definedName name="TEST0" localSheetId="15">#REF!</definedName>
    <definedName name="TEST0" localSheetId="34">#REF!</definedName>
    <definedName name="TEST0" localSheetId="32">#REF!</definedName>
    <definedName name="TEST0" localSheetId="35">#REF!</definedName>
    <definedName name="TEST0" localSheetId="0">#REF!</definedName>
    <definedName name="TEST0" localSheetId="13">#REF!</definedName>
    <definedName name="TEST0">#REF!</definedName>
    <definedName name="TEST1" localSheetId="1">#REF!</definedName>
    <definedName name="TEST1" localSheetId="15">#REF!</definedName>
    <definedName name="TEST1" localSheetId="0">#REF!</definedName>
    <definedName name="TEST1">#REF!</definedName>
    <definedName name="TESTHKEY" localSheetId="33">#REF!</definedName>
    <definedName name="TESTHKEY" localSheetId="1">#REF!</definedName>
    <definedName name="TESTHKEY" localSheetId="19">#REF!</definedName>
    <definedName name="TESTHKEY" localSheetId="15">#REF!</definedName>
    <definedName name="TESTHKEY" localSheetId="34">#REF!</definedName>
    <definedName name="TESTHKEY" localSheetId="32">#REF!</definedName>
    <definedName name="TESTHKEY" localSheetId="35">#REF!</definedName>
    <definedName name="TESTHKEY" localSheetId="0">#REF!</definedName>
    <definedName name="TESTHKEY" localSheetId="13">#REF!</definedName>
    <definedName name="TESTHKEY">#REF!</definedName>
    <definedName name="TESTKEYS" localSheetId="33">#REF!</definedName>
    <definedName name="TESTKEYS" localSheetId="1">#REF!</definedName>
    <definedName name="TESTKEYS" localSheetId="19">#REF!</definedName>
    <definedName name="TESTKEYS" localSheetId="15">#REF!</definedName>
    <definedName name="TESTKEYS" localSheetId="34">#REF!</definedName>
    <definedName name="TESTKEYS" localSheetId="32">#REF!</definedName>
    <definedName name="TESTKEYS" localSheetId="35">#REF!</definedName>
    <definedName name="TESTKEYS" localSheetId="0">#REF!</definedName>
    <definedName name="TESTKEYS" localSheetId="13">#REF!</definedName>
    <definedName name="TESTKEYS">#REF!</definedName>
    <definedName name="TESTVKEY" localSheetId="33">#REF!</definedName>
    <definedName name="TESTVKEY" localSheetId="1">#REF!</definedName>
    <definedName name="TESTVKEY" localSheetId="19">#REF!</definedName>
    <definedName name="TESTVKEY" localSheetId="15">#REF!</definedName>
    <definedName name="TESTVKEY" localSheetId="34">#REF!</definedName>
    <definedName name="TESTVKEY" localSheetId="32">#REF!</definedName>
    <definedName name="TESTVKEY" localSheetId="35">#REF!</definedName>
    <definedName name="TESTVKEY" localSheetId="0">#REF!</definedName>
    <definedName name="TESTVKEY" localSheetId="13">#REF!</definedName>
    <definedName name="TESTVKEY">#REF!</definedName>
    <definedName name="THAI_PLASTIC_in_KUSD" localSheetId="1">#REF!</definedName>
    <definedName name="THAI_PLASTIC_in_KUSD" localSheetId="15">#REF!</definedName>
    <definedName name="THAI_PLASTIC_in_KUSD" localSheetId="0">#REF!</definedName>
    <definedName name="THAI_PLASTIC_in_KUSD">#REF!</definedName>
    <definedName name="TNW_4" localSheetId="33">#REF!</definedName>
    <definedName name="TNW_4" localSheetId="1">#REF!</definedName>
    <definedName name="TNW_4" localSheetId="19">#REF!</definedName>
    <definedName name="TNW_4" localSheetId="15">#REF!</definedName>
    <definedName name="TNW_4" localSheetId="34">#REF!</definedName>
    <definedName name="TNW_4" localSheetId="32">#REF!</definedName>
    <definedName name="TNW_4" localSheetId="35">#REF!</definedName>
    <definedName name="TNW_4" localSheetId="0">#REF!</definedName>
    <definedName name="TNW_4" localSheetId="13">#REF!</definedName>
    <definedName name="TNW_4">#REF!</definedName>
    <definedName name="TNW_5" localSheetId="33">#REF!</definedName>
    <definedName name="TNW_5" localSheetId="1">#REF!</definedName>
    <definedName name="TNW_5" localSheetId="19">#REF!</definedName>
    <definedName name="TNW_5" localSheetId="15">#REF!</definedName>
    <definedName name="TNW_5" localSheetId="34">#REF!</definedName>
    <definedName name="TNW_5" localSheetId="32">#REF!</definedName>
    <definedName name="TNW_5" localSheetId="35">#REF!</definedName>
    <definedName name="TNW_5" localSheetId="0">#REF!</definedName>
    <definedName name="TNW_5" localSheetId="13">#REF!</definedName>
    <definedName name="TNW_5">#REF!</definedName>
    <definedName name="TNW_6" localSheetId="33">#REF!</definedName>
    <definedName name="TNW_6" localSheetId="1">#REF!</definedName>
    <definedName name="TNW_6" localSheetId="19">#REF!</definedName>
    <definedName name="TNW_6" localSheetId="15">#REF!</definedName>
    <definedName name="TNW_6" localSheetId="34">#REF!</definedName>
    <definedName name="TNW_6" localSheetId="32">#REF!</definedName>
    <definedName name="TNW_6" localSheetId="35">#REF!</definedName>
    <definedName name="TNW_6" localSheetId="0">#REF!</definedName>
    <definedName name="TNW_6" localSheetId="13">#REF!</definedName>
    <definedName name="TNW_6">#REF!</definedName>
    <definedName name="TNW_7" localSheetId="33">#REF!</definedName>
    <definedName name="TNW_7" localSheetId="1">#REF!</definedName>
    <definedName name="TNW_7" localSheetId="19">#REF!</definedName>
    <definedName name="TNW_7" localSheetId="15">#REF!</definedName>
    <definedName name="TNW_7" localSheetId="34">#REF!</definedName>
    <definedName name="TNW_7" localSheetId="32">#REF!</definedName>
    <definedName name="TNW_7" localSheetId="35">#REF!</definedName>
    <definedName name="TNW_7" localSheetId="0">#REF!</definedName>
    <definedName name="TNW_7" localSheetId="13">#REF!</definedName>
    <definedName name="TNW_7">#REF!</definedName>
    <definedName name="TNW_8" localSheetId="33">#REF!</definedName>
    <definedName name="TNW_8" localSheetId="1">#REF!</definedName>
    <definedName name="TNW_8" localSheetId="19">#REF!</definedName>
    <definedName name="TNW_8" localSheetId="15">#REF!</definedName>
    <definedName name="TNW_8" localSheetId="34">#REF!</definedName>
    <definedName name="TNW_8" localSheetId="32">#REF!</definedName>
    <definedName name="TNW_8" localSheetId="35">#REF!</definedName>
    <definedName name="TNW_8" localSheetId="0">#REF!</definedName>
    <definedName name="TNW_8" localSheetId="13">#REF!</definedName>
    <definedName name="TNW_8">#REF!</definedName>
    <definedName name="transport" localSheetId="33">#REF!</definedName>
    <definedName name="transport" localSheetId="1">#REF!</definedName>
    <definedName name="transport" localSheetId="19">#REF!</definedName>
    <definedName name="transport" localSheetId="15">#REF!</definedName>
    <definedName name="transport" localSheetId="34">#REF!</definedName>
    <definedName name="transport" localSheetId="32">#REF!</definedName>
    <definedName name="transport" localSheetId="35">#REF!</definedName>
    <definedName name="transport" localSheetId="0">#REF!</definedName>
    <definedName name="transport" localSheetId="13">#REF!</definedName>
    <definedName name="transport">#REF!</definedName>
    <definedName name="tt" localSheetId="3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 localSheetId="32"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 localSheetId="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 localSheetId="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localSheetId="3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localSheetId="32"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localSheetId="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localSheetId="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ttttt"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unitwise" localSheetId="1">#REF!</definedName>
    <definedName name="unitwise" localSheetId="15">#REF!</definedName>
    <definedName name="unitwise" localSheetId="9">#REF!</definedName>
    <definedName name="unitwise" localSheetId="0">#REF!</definedName>
    <definedName name="unitwise">#REF!</definedName>
    <definedName name="unsecured_Loans_99" localSheetId="1">#REF!</definedName>
    <definedName name="unsecured_Loans_99" localSheetId="15">#REF!</definedName>
    <definedName name="unsecured_Loans_99" localSheetId="9">#REF!</definedName>
    <definedName name="unsecured_Loans_99" localSheetId="0">#REF!</definedName>
    <definedName name="unsecured_Loans_99">#REF!</definedName>
    <definedName name="USD.A" localSheetId="1">#REF!</definedName>
    <definedName name="USD.A" localSheetId="15">#REF!</definedName>
    <definedName name="USD.A" localSheetId="9">#REF!</definedName>
    <definedName name="USD.A" localSheetId="0">#REF!</definedName>
    <definedName name="USD.A">#REF!</definedName>
    <definedName name="USD.E" localSheetId="1">#REF!</definedName>
    <definedName name="USD.E" localSheetId="15">#REF!</definedName>
    <definedName name="USD.E" localSheetId="0">#REF!</definedName>
    <definedName name="USD.E">#REF!</definedName>
    <definedName name="USD_B" localSheetId="1">#REF!</definedName>
    <definedName name="USD_B" localSheetId="15">#REF!</definedName>
    <definedName name="USD_B" localSheetId="0">#REF!</definedName>
    <definedName name="USD_B">#REF!</definedName>
    <definedName name="Values_Entered" localSheetId="33">IF('Advance to Supplier'!Loan_Amount*'Advance to Supplier'!Interest_Rate*'Advance to Supplier'!Loan_Years*'Advance to Supplier'!Loan_Start&gt;0,1,0)</definedName>
    <definedName name="Values_Entered" localSheetId="19">IF('Debtor''s Ageing'!Loan_Amount*'Debtor''s Ageing'!Interest_Rate*'Debtor''s Ageing'!Loan_Years*'Debtor''s Ageing'!Loan_Start&gt;0,1,0)</definedName>
    <definedName name="Values_Entered" localSheetId="34">IF(Loan_Amount*Interest_Rate*Loan_Years*Loan_Start&gt;0,1,0)</definedName>
    <definedName name="Values_Entered" localSheetId="32">IF('Loans to staff'!Loan_Amount*'Loans to staff'!Interest_Rate*'Loans to staff'!Loan_Years*'Loans to staff'!Loan_Start&gt;0,1,0)</definedName>
    <definedName name="Values_Entered" localSheetId="35">IF('MSME 22-23'!Loan_Amount*'MSME 22-23'!Interest_Rate*'MSME 22-23'!Loan_Years*'MSME 22-23'!Loan_Start&gt;0,1,0)</definedName>
    <definedName name="Values_Entered" localSheetId="9">IF(Loan_Amount*Interest_Rate*Loan_Years*Loan_Start&gt;0,1,0)</definedName>
    <definedName name="Values_Entered" localSheetId="0">IF([0]!Loan_Amount*[0]!Interest_Rate*[0]!Loan_Years*[0]!Loan_Start&gt;0,1,0)</definedName>
    <definedName name="Values_Entered" localSheetId="13">IF('Related Parties'!Loan_Amount*'Related Parties'!Interest_Rate*'Related Parties'!Loan_Years*'Related Parties'!Loan_Start&gt;0,1,0)</definedName>
    <definedName name="Values_Entered">IF(Loan_Amount*Interest_Rate*Loan_Years*Loan_Start&gt;0,1,0)</definedName>
    <definedName name="Variance" localSheetId="1">#REF!</definedName>
    <definedName name="Variance" localSheetId="15">#REF!</definedName>
    <definedName name="Variance" localSheetId="34">#REF!</definedName>
    <definedName name="Variance" localSheetId="0">#REF!</definedName>
    <definedName name="Variance">#REF!</definedName>
    <definedName name="VATQuarter" localSheetId="33">'[31]Company information'!#REF!</definedName>
    <definedName name="VATQuarter" localSheetId="1">'[31]Company information'!#REF!</definedName>
    <definedName name="VATQuarter" localSheetId="19">'[31]Company information'!#REF!</definedName>
    <definedName name="VATQuarter" localSheetId="15">'[31]Company information'!#REF!</definedName>
    <definedName name="VATQuarter" localSheetId="34">'[31]Company information'!#REF!</definedName>
    <definedName name="VATQuarter" localSheetId="32">'[31]Company information'!#REF!</definedName>
    <definedName name="VATQuarter" localSheetId="35">'[31]Company information'!#REF!</definedName>
    <definedName name="VATQuarter" localSheetId="0">'[31]Company information'!#REF!</definedName>
    <definedName name="VATQuarter" localSheetId="13">'[31]Company information'!#REF!</definedName>
    <definedName name="VATQuarter">'[31]Company information'!#REF!</definedName>
    <definedName name="vt_autohide">[27]Settings!$C$14</definedName>
    <definedName name="vt_comphidden">[27]Settings!$C$25</definedName>
    <definedName name="vt_showcontents">[27]Settings!$C$27</definedName>
    <definedName name="vt_versionid" localSheetId="33">[28]Settings!$C$16</definedName>
    <definedName name="vt_versionid" localSheetId="19">[28]Settings!$C$16</definedName>
    <definedName name="vt_versionid" localSheetId="32">[29]Settings!$C$16</definedName>
    <definedName name="vt_versionid" localSheetId="35">[29]Settings!$C$16</definedName>
    <definedName name="vt_versionid" localSheetId="13">[28]Settings!$C$16</definedName>
    <definedName name="vt_versionid">[30]Settings!$C$16</definedName>
    <definedName name="vv" localSheetId="34" hidden="1">{#N/A,#N/A,TRUE,"Sheet1"}</definedName>
    <definedName name="vv" localSheetId="32" hidden="1">{#N/A,#N/A,TRUE,"Sheet1"}</definedName>
    <definedName name="vv" localSheetId="9" hidden="1">{#N/A,#N/A,TRUE,"Sheet1"}</definedName>
    <definedName name="vv" localSheetId="0" hidden="1">{#N/A,#N/A,TRUE,"Sheet1"}</definedName>
    <definedName name="vv" hidden="1">{#N/A,#N/A,TRUE,"Sheet1"}</definedName>
    <definedName name="vvvv" localSheetId="33">IF('Advance to Supplier'!Loan_Amount*'Advance to Supplier'!Interest_Rate*'Advance to Supplier'!Loan_Years*'Advance to Supplier'!Loan_Start&gt;0,1,0)</definedName>
    <definedName name="vvvv" localSheetId="19">IF('Debtor''s Ageing'!Loan_Amount*'Debtor''s Ageing'!Interest_Rate*'Debtor''s Ageing'!Loan_Years*'Debtor''s Ageing'!Loan_Start&gt;0,1,0)</definedName>
    <definedName name="vvvv" localSheetId="34">IF(Loan_Amount*Interest_Rate*Loan_Years*Loan_Start&gt;0,1,0)</definedName>
    <definedName name="vvvv" localSheetId="32">IF('Loans to staff'!Loan_Amount*'Loans to staff'!Interest_Rate*'Loans to staff'!Loan_Years*'Loans to staff'!Loan_Start&gt;0,1,0)</definedName>
    <definedName name="vvvv" localSheetId="35">IF('MSME 22-23'!Loan_Amount*'MSME 22-23'!Interest_Rate*'MSME 22-23'!Loan_Years*'MSME 22-23'!Loan_Start&gt;0,1,0)</definedName>
    <definedName name="vvvv" localSheetId="9">IF(Loan_Amount*Interest_Rate*Loan_Years*Loan_Start&gt;0,1,0)</definedName>
    <definedName name="vvvv" localSheetId="0">IF([0]!Loan_Amount*[0]!Interest_Rate*[0]!Loan_Years*[0]!Loan_Start&gt;0,1,0)</definedName>
    <definedName name="vvvv" localSheetId="13">IF('Related Parties'!Loan_Amount*'Related Parties'!Interest_Rate*'Related Parties'!Loan_Years*'Related Parties'!Loan_Start&gt;0,1,0)</definedName>
    <definedName name="vvvv">IF(Loan_Amount*Interest_Rate*Loan_Years*Loan_Start&gt;0,1,0)</definedName>
    <definedName name="w" localSheetId="1" hidden="1">'[67]TRIAL BALANCE'!#REF!</definedName>
    <definedName name="w" localSheetId="15" hidden="1">'[67]TRIAL BALANCE'!#REF!</definedName>
    <definedName name="w" localSheetId="34" hidden="1">'[67]TRIAL BALANCE'!#REF!</definedName>
    <definedName name="w" localSheetId="9" hidden="1">'[67]TRIAL BALANCE'!#REF!</definedName>
    <definedName name="w" localSheetId="0" hidden="1">'[67]TRIAL BALANCE'!#REF!</definedName>
    <definedName name="w" hidden="1">'[67]TRIAL BALANCE'!#REF!</definedName>
    <definedName name="WC" localSheetId="33">#REF!</definedName>
    <definedName name="WC" localSheetId="1">#REF!</definedName>
    <definedName name="WC" localSheetId="19">#REF!</definedName>
    <definedName name="WC" localSheetId="15">#REF!</definedName>
    <definedName name="WC" localSheetId="34">#REF!</definedName>
    <definedName name="WC" localSheetId="32">#REF!</definedName>
    <definedName name="WC" localSheetId="35">#REF!</definedName>
    <definedName name="WC" localSheetId="0">#REF!</definedName>
    <definedName name="WC" localSheetId="13">#REF!</definedName>
    <definedName name="WC">#REF!</definedName>
    <definedName name="WC_4" localSheetId="33">#REF!</definedName>
    <definedName name="WC_4" localSheetId="1">#REF!</definedName>
    <definedName name="WC_4" localSheetId="19">#REF!</definedName>
    <definedName name="WC_4" localSheetId="15">#REF!</definedName>
    <definedName name="WC_4" localSheetId="34">#REF!</definedName>
    <definedName name="WC_4" localSheetId="32">#REF!</definedName>
    <definedName name="WC_4" localSheetId="35">#REF!</definedName>
    <definedName name="WC_4" localSheetId="0">#REF!</definedName>
    <definedName name="WC_4" localSheetId="13">#REF!</definedName>
    <definedName name="WC_4">#REF!</definedName>
    <definedName name="WC_5" localSheetId="33">#REF!</definedName>
    <definedName name="WC_5" localSheetId="1">#REF!</definedName>
    <definedName name="WC_5" localSheetId="19">#REF!</definedName>
    <definedName name="WC_5" localSheetId="15">#REF!</definedName>
    <definedName name="WC_5" localSheetId="34">#REF!</definedName>
    <definedName name="WC_5" localSheetId="32">#REF!</definedName>
    <definedName name="WC_5" localSheetId="35">#REF!</definedName>
    <definedName name="WC_5" localSheetId="0">#REF!</definedName>
    <definedName name="WC_5" localSheetId="13">#REF!</definedName>
    <definedName name="WC_5">#REF!</definedName>
    <definedName name="WC_6" localSheetId="33">#REF!</definedName>
    <definedName name="WC_6" localSheetId="1">#REF!</definedName>
    <definedName name="WC_6" localSheetId="19">#REF!</definedName>
    <definedName name="WC_6" localSheetId="15">#REF!</definedName>
    <definedName name="WC_6" localSheetId="34">#REF!</definedName>
    <definedName name="WC_6" localSheetId="32">#REF!</definedName>
    <definedName name="WC_6" localSheetId="35">#REF!</definedName>
    <definedName name="WC_6" localSheetId="0">#REF!</definedName>
    <definedName name="WC_6" localSheetId="13">#REF!</definedName>
    <definedName name="WC_6">#REF!</definedName>
    <definedName name="WC_7" localSheetId="33">#REF!</definedName>
    <definedName name="WC_7" localSheetId="1">#REF!</definedName>
    <definedName name="WC_7" localSheetId="19">#REF!</definedName>
    <definedName name="WC_7" localSheetId="15">#REF!</definedName>
    <definedName name="WC_7" localSheetId="34">#REF!</definedName>
    <definedName name="WC_7" localSheetId="32">#REF!</definedName>
    <definedName name="WC_7" localSheetId="35">#REF!</definedName>
    <definedName name="WC_7" localSheetId="0">#REF!</definedName>
    <definedName name="WC_7" localSheetId="13">#REF!</definedName>
    <definedName name="WC_7">#REF!</definedName>
    <definedName name="WC_8" localSheetId="33">#REF!</definedName>
    <definedName name="WC_8" localSheetId="1">#REF!</definedName>
    <definedName name="WC_8" localSheetId="19">#REF!</definedName>
    <definedName name="WC_8" localSheetId="15">#REF!</definedName>
    <definedName name="WC_8" localSheetId="34">#REF!</definedName>
    <definedName name="WC_8" localSheetId="32">#REF!</definedName>
    <definedName name="WC_8" localSheetId="35">#REF!</definedName>
    <definedName name="WC_8" localSheetId="0">#REF!</definedName>
    <definedName name="WC_8" localSheetId="13">#REF!</definedName>
    <definedName name="WC_8">#REF!</definedName>
    <definedName name="Working" localSheetId="1">#REF!</definedName>
    <definedName name="Working" localSheetId="15">#REF!</definedName>
    <definedName name="Working" localSheetId="0">#REF!</definedName>
    <definedName name="Working">#REF!</definedName>
    <definedName name="wplbs">[1]wpl!$B$2:$H$82</definedName>
    <definedName name="wplpandl">[1]wpl!$B$87:$N$153</definedName>
    <definedName name="wplr1">[1]wpl!$B$176:$H$232</definedName>
    <definedName name="wplr2">[1]wpl!$B$236:$H$302</definedName>
    <definedName name="wplr3">[1]wpl!$B$331:$H$388</definedName>
    <definedName name="wrn.2." localSheetId="34" hidden="1">{#N/A,#N/A,TRUE,"Sheet1"}</definedName>
    <definedName name="wrn.2." localSheetId="32" hidden="1">{#N/A,#N/A,TRUE,"Sheet1"}</definedName>
    <definedName name="wrn.2." localSheetId="9" hidden="1">{#N/A,#N/A,TRUE,"Sheet1"}</definedName>
    <definedName name="wrn.2." localSheetId="0" hidden="1">{#N/A,#N/A,TRUE,"Sheet1"}</definedName>
    <definedName name="wrn.2." hidden="1">{#N/A,#N/A,TRUE,"Sheet1"}</definedName>
    <definedName name="wrn.imprim." localSheetId="34"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3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MDS1." localSheetId="3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3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3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3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98." localSheetId="34"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localSheetId="32"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localSheetId="9"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localSheetId="0"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rn.P98." hidden="1">{#N/A,#N/A,FALSE,"INDEX";#N/A,#N/A,FALSE,"Cost";#N/A,#N/A,FALSE,"P-1";#N/A,#N/A,FALSE,"Sheet3";#N/A,#N/A,FALSE,"Sheet4";#N/A,#N/A,FALSE,"Sheet5";#N/A,#N/A,FALSE,"Sheet6";#N/A,#N/A,FALSE,"Sheet7";#N/A,#N/A,FALSE,"Sheet8";#N/A,#N/A,FALSE,"Sheet9";#N/A,#N/A,FALSE,"Sheet10";#N/A,#N/A,FALSE,"Sheet11";#N/A,#N/A,FALSE,"Sheet12";#N/A,#N/A,FALSE,"PAGE-11";#N/A,#N/A,FALSE,"PAGE-12";#N/A,#N/A,FALSE,"PAGE-13";#N/A,#N/A,FALSE,"PAGE-14";#N/A,#N/A,FALSE,"PAGE-15"}</definedName>
    <definedName name="wtilbs">[1]wtil!$B$2:$H$82</definedName>
    <definedName name="wtilpandl">[1]wtil!$B$86:$N$152</definedName>
    <definedName name="wtilr1">[1]wtil!$B$174:$H$227</definedName>
    <definedName name="wtilr2">[1]wtil!$B$229:$H$286</definedName>
    <definedName name="wtilr3">[1]wtil!$B$291:$H$350</definedName>
    <definedName name="xx" localSheetId="3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1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3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3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localSheetId="1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localSheetId="34"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localSheetId="3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localSheetId="9"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Year_Period" localSheetId="33">#REF!</definedName>
    <definedName name="Year_Period" localSheetId="1">#REF!</definedName>
    <definedName name="Year_Period" localSheetId="19">#REF!</definedName>
    <definedName name="Year_Period" localSheetId="15">#REF!</definedName>
    <definedName name="Year_Period" localSheetId="34">#REF!</definedName>
    <definedName name="Year_Period" localSheetId="32">#REF!</definedName>
    <definedName name="Year_Period" localSheetId="35">#REF!</definedName>
    <definedName name="Year_Period" localSheetId="0">#REF!</definedName>
    <definedName name="Year_Period" localSheetId="13">#REF!</definedName>
    <definedName name="Year_Period">#REF!</definedName>
    <definedName name="yesno" localSheetId="33">#REF!</definedName>
    <definedName name="yesno" localSheetId="1">#REF!</definedName>
    <definedName name="yesno" localSheetId="19">#REF!</definedName>
    <definedName name="yesno" localSheetId="15">#REF!</definedName>
    <definedName name="yesno" localSheetId="32">#REF!</definedName>
    <definedName name="yesno" localSheetId="35">#REF!</definedName>
    <definedName name="yesno" localSheetId="0">#REF!</definedName>
    <definedName name="yesno" localSheetId="13">#REF!</definedName>
    <definedName name="yesno">#REF!</definedName>
    <definedName name="YesNoNA">[11]Sheet1!$A$1:$A$3</definedName>
    <definedName name="Z" localSheetId="33">[55]rough!#REF!</definedName>
    <definedName name="Z" localSheetId="1">[55]rough!#REF!</definedName>
    <definedName name="Z" localSheetId="19">[55]rough!#REF!</definedName>
    <definedName name="Z" localSheetId="15">[55]rough!#REF!</definedName>
    <definedName name="Z" localSheetId="34">[55]rough!#REF!</definedName>
    <definedName name="Z" localSheetId="32">[55]rough!#REF!</definedName>
    <definedName name="Z" localSheetId="35">[55]rough!#REF!</definedName>
    <definedName name="Z" localSheetId="0">[55]rough!#REF!</definedName>
    <definedName name="Z" localSheetId="13">[55]rough!#REF!</definedName>
    <definedName name="Z">[55]rough!#REF!</definedName>
    <definedName name="Z_1B1DBD0B_919D_490D_9900_670A1DB24C6B_.wvu.Cols" localSheetId="34" hidden="1">[68]Dep!$F$1:$F$65536,[68]Dep!$J$1:$K$65536</definedName>
    <definedName name="Z_1B1DBD0B_919D_490D_9900_670A1DB24C6B_.wvu.Cols" hidden="1">[69]Dep!$F$1:$F$65536,[69]Dep!$J$1:$K$65536</definedName>
    <definedName name="Z_1B1DBD0B_919D_490D_9900_670A1DB24C6B_.wvu.Rows" localSheetId="33" hidden="1">'[69]Ann A'!#REF!,'[69]Ann A'!#REF!,'[69]Ann A'!#REF!,'[69]Ann A'!#REF!,'[69]Ann A'!#REF!,'[69]Ann A'!#REF!</definedName>
    <definedName name="Z_1B1DBD0B_919D_490D_9900_670A1DB24C6B_.wvu.Rows" localSheetId="1" hidden="1">'[69]Ann A'!#REF!,'[69]Ann A'!#REF!,'[69]Ann A'!#REF!,'[69]Ann A'!#REF!,'[69]Ann A'!#REF!,'[69]Ann A'!#REF!</definedName>
    <definedName name="Z_1B1DBD0B_919D_490D_9900_670A1DB24C6B_.wvu.Rows" localSheetId="19" hidden="1">'[69]Ann A'!#REF!,'[69]Ann A'!#REF!,'[69]Ann A'!#REF!,'[69]Ann A'!#REF!,'[69]Ann A'!#REF!,'[69]Ann A'!#REF!</definedName>
    <definedName name="Z_1B1DBD0B_919D_490D_9900_670A1DB24C6B_.wvu.Rows" localSheetId="15" hidden="1">'[69]Ann A'!#REF!,'[69]Ann A'!#REF!,'[69]Ann A'!#REF!,'[69]Ann A'!#REF!,'[69]Ann A'!#REF!,'[69]Ann A'!#REF!</definedName>
    <definedName name="Z_1B1DBD0B_919D_490D_9900_670A1DB24C6B_.wvu.Rows" localSheetId="34" hidden="1">'[68]Ann A'!#REF!,'[68]Ann A'!#REF!,'[68]Ann A'!#REF!,'[68]Ann A'!#REF!,'[68]Ann A'!#REF!,'[68]Ann A'!#REF!</definedName>
    <definedName name="Z_1B1DBD0B_919D_490D_9900_670A1DB24C6B_.wvu.Rows" localSheetId="32" hidden="1">'[69]Ann A'!#REF!,'[69]Ann A'!#REF!,'[69]Ann A'!#REF!,'[69]Ann A'!#REF!,'[69]Ann A'!#REF!,'[69]Ann A'!#REF!</definedName>
    <definedName name="Z_1B1DBD0B_919D_490D_9900_670A1DB24C6B_.wvu.Rows" localSheetId="35" hidden="1">'[69]Ann A'!#REF!,'[69]Ann A'!#REF!,'[69]Ann A'!#REF!,'[69]Ann A'!#REF!,'[69]Ann A'!#REF!,'[69]Ann A'!#REF!</definedName>
    <definedName name="Z_1B1DBD0B_919D_490D_9900_670A1DB24C6B_.wvu.Rows" localSheetId="9" hidden="1">'[69]Ann A'!#REF!,'[69]Ann A'!#REF!,'[69]Ann A'!#REF!,'[69]Ann A'!#REF!,'[69]Ann A'!#REF!,'[69]Ann A'!#REF!</definedName>
    <definedName name="Z_1B1DBD0B_919D_490D_9900_670A1DB24C6B_.wvu.Rows" localSheetId="0" hidden="1">'[69]Ann A'!#REF!,'[69]Ann A'!#REF!,'[69]Ann A'!#REF!,'[69]Ann A'!#REF!,'[69]Ann A'!#REF!,'[69]Ann A'!#REF!</definedName>
    <definedName name="Z_1B1DBD0B_919D_490D_9900_670A1DB24C6B_.wvu.Rows" localSheetId="13" hidden="1">'[69]Ann A'!#REF!,'[69]Ann A'!#REF!,'[69]Ann A'!#REF!,'[69]Ann A'!#REF!,'[69]Ann A'!#REF!,'[69]Ann A'!#REF!</definedName>
    <definedName name="Z_1B1DBD0B_919D_490D_9900_670A1DB24C6B_.wvu.Rows" hidden="1">'[69]Ann A'!#REF!,'[69]Ann A'!#REF!,'[69]Ann A'!#REF!,'[69]Ann A'!#REF!,'[69]Ann A'!#REF!,'[69]Ann A'!#REF!</definedName>
    <definedName name="Z_25FB9C05_6AD3_4F17_B4E2_C500C61A1349_.wvu.PrintArea" localSheetId="1" hidden="1">#REF!</definedName>
    <definedName name="Z_25FB9C05_6AD3_4F17_B4E2_C500C61A1349_.wvu.PrintArea" localSheetId="15" hidden="1">#REF!</definedName>
    <definedName name="Z_25FB9C05_6AD3_4F17_B4E2_C500C61A1349_.wvu.PrintArea" localSheetId="34" hidden="1">#REF!</definedName>
    <definedName name="Z_25FB9C05_6AD3_4F17_B4E2_C500C61A1349_.wvu.PrintArea" localSheetId="0" hidden="1">#REF!</definedName>
    <definedName name="Z_25FB9C05_6AD3_4F17_B4E2_C500C61A1349_.wvu.PrintArea" hidden="1">#REF!</definedName>
    <definedName name="Z_25FB9C05_6AD3_4F17_B4E2_C500C61A1349_.wvu.Rows" localSheetId="1" hidden="1">#REF!</definedName>
    <definedName name="Z_25FB9C05_6AD3_4F17_B4E2_C500C61A1349_.wvu.Rows" localSheetId="15" hidden="1">#REF!</definedName>
    <definedName name="Z_25FB9C05_6AD3_4F17_B4E2_C500C61A1349_.wvu.Rows" localSheetId="34" hidden="1">#REF!</definedName>
    <definedName name="Z_25FB9C05_6AD3_4F17_B4E2_C500C61A1349_.wvu.Rows" localSheetId="0" hidden="1">#REF!</definedName>
    <definedName name="Z_25FB9C05_6AD3_4F17_B4E2_C500C61A1349_.wvu.Rows" hidden="1">#REF!</definedName>
    <definedName name="Z_476F5800_BE05_4E70_959A_43C436F3A307_.wvu.PrintArea" localSheetId="1" hidden="1">#REF!</definedName>
    <definedName name="Z_476F5800_BE05_4E70_959A_43C436F3A307_.wvu.PrintArea" localSheetId="15" hidden="1">#REF!</definedName>
    <definedName name="Z_476F5800_BE05_4E70_959A_43C436F3A307_.wvu.PrintArea" localSheetId="34" hidden="1">#REF!</definedName>
    <definedName name="Z_476F5800_BE05_4E70_959A_43C436F3A307_.wvu.PrintArea" localSheetId="0" hidden="1">#REF!</definedName>
    <definedName name="Z_476F5800_BE05_4E70_959A_43C436F3A307_.wvu.PrintArea" hidden="1">#REF!</definedName>
    <definedName name="Z_476F5800_BE05_4E70_959A_43C436F3A307_.wvu.Rows" localSheetId="33" hidden="1">'[69]Ann A'!#REF!,'[69]Ann A'!#REF!</definedName>
    <definedName name="Z_476F5800_BE05_4E70_959A_43C436F3A307_.wvu.Rows" localSheetId="1" hidden="1">'[69]Ann A'!#REF!,'[69]Ann A'!#REF!</definedName>
    <definedName name="Z_476F5800_BE05_4E70_959A_43C436F3A307_.wvu.Rows" localSheetId="19" hidden="1">'[69]Ann A'!#REF!,'[69]Ann A'!#REF!</definedName>
    <definedName name="Z_476F5800_BE05_4E70_959A_43C436F3A307_.wvu.Rows" localSheetId="15" hidden="1">'[69]Ann A'!#REF!,'[69]Ann A'!#REF!</definedName>
    <definedName name="Z_476F5800_BE05_4E70_959A_43C436F3A307_.wvu.Rows" localSheetId="34" hidden="1">'[68]Ann A'!#REF!,'[68]Ann A'!#REF!</definedName>
    <definedName name="Z_476F5800_BE05_4E70_959A_43C436F3A307_.wvu.Rows" localSheetId="32" hidden="1">'[69]Ann A'!#REF!,'[69]Ann A'!#REF!</definedName>
    <definedName name="Z_476F5800_BE05_4E70_959A_43C436F3A307_.wvu.Rows" localSheetId="35" hidden="1">'[69]Ann A'!#REF!,'[69]Ann A'!#REF!</definedName>
    <definedName name="Z_476F5800_BE05_4E70_959A_43C436F3A307_.wvu.Rows" localSheetId="9" hidden="1">'[69]Ann A'!#REF!,'[69]Ann A'!#REF!</definedName>
    <definedName name="Z_476F5800_BE05_4E70_959A_43C436F3A307_.wvu.Rows" localSheetId="0" hidden="1">'[69]Ann A'!#REF!,'[69]Ann A'!#REF!</definedName>
    <definedName name="Z_476F5800_BE05_4E70_959A_43C436F3A307_.wvu.Rows" localSheetId="13" hidden="1">'[69]Ann A'!#REF!,'[69]Ann A'!#REF!</definedName>
    <definedName name="Z_476F5800_BE05_4E70_959A_43C436F3A307_.wvu.Rows" hidden="1">'[69]Ann A'!#REF!,'[69]Ann A'!#REF!</definedName>
    <definedName name="Z_68181020_4927_4299_A478_E9569D3AE9C1_.wvu.Cols" localSheetId="33" hidden="1">[69]COI!#REF!,[69]COI!#REF!</definedName>
    <definedName name="Z_68181020_4927_4299_A478_E9569D3AE9C1_.wvu.Cols" localSheetId="1" hidden="1">[69]COI!#REF!,[69]COI!#REF!</definedName>
    <definedName name="Z_68181020_4927_4299_A478_E9569D3AE9C1_.wvu.Cols" localSheetId="19" hidden="1">[69]COI!#REF!,[69]COI!#REF!</definedName>
    <definedName name="Z_68181020_4927_4299_A478_E9569D3AE9C1_.wvu.Cols" localSheetId="15" hidden="1">[69]COI!#REF!,[69]COI!#REF!</definedName>
    <definedName name="Z_68181020_4927_4299_A478_E9569D3AE9C1_.wvu.Cols" localSheetId="34" hidden="1">[68]COI!#REF!,[68]COI!#REF!</definedName>
    <definedName name="Z_68181020_4927_4299_A478_E9569D3AE9C1_.wvu.Cols" localSheetId="32" hidden="1">[69]COI!#REF!,[69]COI!#REF!</definedName>
    <definedName name="Z_68181020_4927_4299_A478_E9569D3AE9C1_.wvu.Cols" localSheetId="35" hidden="1">[69]COI!#REF!,[69]COI!#REF!</definedName>
    <definedName name="Z_68181020_4927_4299_A478_E9569D3AE9C1_.wvu.Cols" localSheetId="9" hidden="1">[69]COI!#REF!,[69]COI!#REF!</definedName>
    <definedName name="Z_68181020_4927_4299_A478_E9569D3AE9C1_.wvu.Cols" localSheetId="0" hidden="1">[69]COI!#REF!,[69]COI!#REF!</definedName>
    <definedName name="Z_68181020_4927_4299_A478_E9569D3AE9C1_.wvu.Cols" localSheetId="13" hidden="1">[69]COI!#REF!,[69]COI!#REF!</definedName>
    <definedName name="Z_68181020_4927_4299_A478_E9569D3AE9C1_.wvu.Cols" hidden="1">[69]COI!#REF!,[69]COI!#REF!</definedName>
    <definedName name="Z_68181020_4927_4299_A478_E9569D3AE9C1_.wvu.PrintArea" localSheetId="1" hidden="1">#REF!</definedName>
    <definedName name="Z_68181020_4927_4299_A478_E9569D3AE9C1_.wvu.PrintArea" localSheetId="15" hidden="1">#REF!</definedName>
    <definedName name="Z_68181020_4927_4299_A478_E9569D3AE9C1_.wvu.PrintArea" localSheetId="34" hidden="1">#REF!</definedName>
    <definedName name="Z_68181020_4927_4299_A478_E9569D3AE9C1_.wvu.PrintArea" localSheetId="0" hidden="1">#REF!</definedName>
    <definedName name="Z_68181020_4927_4299_A478_E9569D3AE9C1_.wvu.PrintArea" hidden="1">#REF!</definedName>
    <definedName name="Z_68181020_4927_4299_A478_E9569D3AE9C1_.wvu.Rows" localSheetId="33" hidden="1">[69]COI!#REF!,[69]COI!#REF!,[69]COI!#REF!,[69]COI!#REF!,[69]COI!#REF!,[69]COI!$A$76:$IV$76,[69]COI!$A$78:$IV$92,[69]COI!$A$94:$IV$94,[69]COI!$A$178:$IV$178,[69]COI!$A$181:$IV$183,[69]COI!$A$192:$IV$192,[69]COI!$A$219:$IV$219</definedName>
    <definedName name="Z_68181020_4927_4299_A478_E9569D3AE9C1_.wvu.Rows" localSheetId="1" hidden="1">[69]COI!#REF!,[69]COI!#REF!,[69]COI!#REF!,[69]COI!#REF!,[69]COI!#REF!,[69]COI!$A$76:$IV$76,[69]COI!$A$78:$IV$92,[69]COI!$A$94:$IV$94,[69]COI!$A$178:$IV$178,[69]COI!$A$181:$IV$183,[69]COI!$A$192:$IV$192,[69]COI!$A$219:$IV$219</definedName>
    <definedName name="Z_68181020_4927_4299_A478_E9569D3AE9C1_.wvu.Rows" localSheetId="19" hidden="1">[69]COI!#REF!,[69]COI!#REF!,[69]COI!#REF!,[69]COI!#REF!,[69]COI!#REF!,[69]COI!$A$76:$IV$76,[69]COI!$A$78:$IV$92,[69]COI!$A$94:$IV$94,[69]COI!$A$178:$IV$178,[69]COI!$A$181:$IV$183,[69]COI!$A$192:$IV$192,[69]COI!$A$219:$IV$219</definedName>
    <definedName name="Z_68181020_4927_4299_A478_E9569D3AE9C1_.wvu.Rows" localSheetId="15" hidden="1">[69]COI!#REF!,[69]COI!#REF!,[69]COI!#REF!,[69]COI!#REF!,[69]COI!#REF!,[69]COI!$A$76:$IV$76,[69]COI!$A$78:$IV$92,[69]COI!$A$94:$IV$94,[69]COI!$A$178:$IV$178,[69]COI!$A$181:$IV$183,[69]COI!$A$192:$IV$192,[69]COI!$A$219:$IV$219</definedName>
    <definedName name="Z_68181020_4927_4299_A478_E9569D3AE9C1_.wvu.Rows" localSheetId="34" hidden="1">[68]COI!#REF!,[68]COI!#REF!,[68]COI!#REF!,[68]COI!#REF!,[68]COI!#REF!,[68]COI!$A$74:$IV$74,[68]COI!$A$76:$IV$90,[68]COI!$A$92:$IV$92,[68]COI!$A$176:$IV$176,[68]COI!$A$179:$IV$181,[68]COI!$A$190:$IV$190,[68]COI!$A$217:$IV$217</definedName>
    <definedName name="Z_68181020_4927_4299_A478_E9569D3AE9C1_.wvu.Rows" localSheetId="32" hidden="1">[69]COI!#REF!,[69]COI!#REF!,[69]COI!#REF!,[69]COI!#REF!,[69]COI!#REF!,[69]COI!$A$76:$IV$76,[69]COI!$A$78:$IV$92,[69]COI!$A$94:$IV$94,[69]COI!$A$178:$IV$178,[69]COI!$A$181:$IV$183,[69]COI!$A$192:$IV$192,[69]COI!$A$219:$IV$219</definedName>
    <definedName name="Z_68181020_4927_4299_A478_E9569D3AE9C1_.wvu.Rows" localSheetId="35" hidden="1">[69]COI!#REF!,[69]COI!#REF!,[69]COI!#REF!,[69]COI!#REF!,[69]COI!#REF!,[69]COI!$A$76:$IV$76,[69]COI!$A$78:$IV$92,[69]COI!$A$94:$IV$94,[69]COI!$A$178:$IV$178,[69]COI!$A$181:$IV$183,[69]COI!$A$192:$IV$192,[69]COI!$A$219:$IV$219</definedName>
    <definedName name="Z_68181020_4927_4299_A478_E9569D3AE9C1_.wvu.Rows" localSheetId="9" hidden="1">[69]COI!#REF!,[69]COI!#REF!,[69]COI!#REF!,[69]COI!#REF!,[69]COI!#REF!,[69]COI!$A$76:$IV$76,[69]COI!$A$78:$IV$92,[69]COI!$A$94:$IV$94,[69]COI!$A$178:$IV$178,[69]COI!$A$181:$IV$183,[69]COI!$A$192:$IV$192,[69]COI!$A$219:$IV$219</definedName>
    <definedName name="Z_68181020_4927_4299_A478_E9569D3AE9C1_.wvu.Rows" localSheetId="0" hidden="1">[69]COI!#REF!,[69]COI!#REF!,[69]COI!#REF!,[69]COI!#REF!,[69]COI!#REF!,[69]COI!$A$76:$IV$76,[69]COI!$A$78:$IV$92,[69]COI!$A$94:$IV$94,[69]COI!$A$178:$IV$178,[69]COI!$A$181:$IV$183,[69]COI!$A$192:$IV$192,[69]COI!$A$219:$IV$219</definedName>
    <definedName name="Z_68181020_4927_4299_A478_E9569D3AE9C1_.wvu.Rows" localSheetId="13" hidden="1">[69]COI!#REF!,[69]COI!#REF!,[69]COI!#REF!,[69]COI!#REF!,[69]COI!#REF!,[69]COI!$A$76:$IV$76,[69]COI!$A$78:$IV$92,[69]COI!$A$94:$IV$94,[69]COI!$A$178:$IV$178,[69]COI!$A$181:$IV$183,[69]COI!$A$192:$IV$192,[69]COI!$A$219:$IV$219</definedName>
    <definedName name="Z_68181020_4927_4299_A478_E9569D3AE9C1_.wvu.Rows" hidden="1">[69]COI!#REF!,[69]COI!#REF!,[69]COI!#REF!,[69]COI!#REF!,[69]COI!#REF!,[69]COI!$A$76:$IV$76,[69]COI!$A$78:$IV$92,[69]COI!$A$94:$IV$94,[69]COI!$A$178:$IV$178,[69]COI!$A$181:$IV$183,[69]COI!$A$192:$IV$192,[69]COI!$A$219:$IV$219</definedName>
    <definedName name="Z_6FC40E20_2DF7_11D6_B0CE_0050BF1228E5_.wvu.Rows" localSheetId="33" hidden="1">[69]Dep!#REF!</definedName>
    <definedName name="Z_6FC40E20_2DF7_11D6_B0CE_0050BF1228E5_.wvu.Rows" localSheetId="1" hidden="1">[69]Dep!#REF!</definedName>
    <definedName name="Z_6FC40E20_2DF7_11D6_B0CE_0050BF1228E5_.wvu.Rows" localSheetId="19" hidden="1">[69]Dep!#REF!</definedName>
    <definedName name="Z_6FC40E20_2DF7_11D6_B0CE_0050BF1228E5_.wvu.Rows" localSheetId="15" hidden="1">[69]Dep!#REF!</definedName>
    <definedName name="Z_6FC40E20_2DF7_11D6_B0CE_0050BF1228E5_.wvu.Rows" localSheetId="34" hidden="1">[68]Dep!#REF!</definedName>
    <definedName name="Z_6FC40E20_2DF7_11D6_B0CE_0050BF1228E5_.wvu.Rows" localSheetId="32" hidden="1">[69]Dep!#REF!</definedName>
    <definedName name="Z_6FC40E20_2DF7_11D6_B0CE_0050BF1228E5_.wvu.Rows" localSheetId="35" hidden="1">[69]Dep!#REF!</definedName>
    <definedName name="Z_6FC40E20_2DF7_11D6_B0CE_0050BF1228E5_.wvu.Rows" localSheetId="0" hidden="1">[69]Dep!#REF!</definedName>
    <definedName name="Z_6FC40E20_2DF7_11D6_B0CE_0050BF1228E5_.wvu.Rows" localSheetId="13" hidden="1">[69]Dep!#REF!</definedName>
    <definedName name="Z_6FC40E20_2DF7_11D6_B0CE_0050BF1228E5_.wvu.Rows" hidden="1">[69]Dep!#REF!</definedName>
    <definedName name="Z_70BF2801_4F4E_4848_9CCA_A6AE52CF77AE_.wvu.Cols" localSheetId="33" hidden="1">#REF!</definedName>
    <definedName name="Z_70BF2801_4F4E_4848_9CCA_A6AE52CF77AE_.wvu.Cols" localSheetId="1" hidden="1">#REF!</definedName>
    <definedName name="Z_70BF2801_4F4E_4848_9CCA_A6AE52CF77AE_.wvu.Cols" localSheetId="19" hidden="1">#REF!</definedName>
    <definedName name="Z_70BF2801_4F4E_4848_9CCA_A6AE52CF77AE_.wvu.Cols" localSheetId="15" hidden="1">#REF!</definedName>
    <definedName name="Z_70BF2801_4F4E_4848_9CCA_A6AE52CF77AE_.wvu.Cols" localSheetId="34" hidden="1">#REF!</definedName>
    <definedName name="Z_70BF2801_4F4E_4848_9CCA_A6AE52CF77AE_.wvu.Cols" localSheetId="32" hidden="1">#REF!</definedName>
    <definedName name="Z_70BF2801_4F4E_4848_9CCA_A6AE52CF77AE_.wvu.Cols" localSheetId="35" hidden="1">#REF!</definedName>
    <definedName name="Z_70BF2801_4F4E_4848_9CCA_A6AE52CF77AE_.wvu.Cols" localSheetId="0" hidden="1">#REF!</definedName>
    <definedName name="Z_70BF2801_4F4E_4848_9CCA_A6AE52CF77AE_.wvu.Cols" localSheetId="13" hidden="1">#REF!</definedName>
    <definedName name="Z_70BF2801_4F4E_4848_9CCA_A6AE52CF77AE_.wvu.Cols" hidden="1">#REF!</definedName>
    <definedName name="Z_70BF2801_4F4E_4848_9CCA_A6AE52CF77AE_.wvu.PrintArea" localSheetId="33" hidden="1">#REF!</definedName>
    <definedName name="Z_70BF2801_4F4E_4848_9CCA_A6AE52CF77AE_.wvu.PrintArea" localSheetId="1" hidden="1">#REF!</definedName>
    <definedName name="Z_70BF2801_4F4E_4848_9CCA_A6AE52CF77AE_.wvu.PrintArea" localSheetId="19" hidden="1">#REF!</definedName>
    <definedName name="Z_70BF2801_4F4E_4848_9CCA_A6AE52CF77AE_.wvu.PrintArea" localSheetId="15" hidden="1">#REF!</definedName>
    <definedName name="Z_70BF2801_4F4E_4848_9CCA_A6AE52CF77AE_.wvu.PrintArea" localSheetId="34" hidden="1">#REF!</definedName>
    <definedName name="Z_70BF2801_4F4E_4848_9CCA_A6AE52CF77AE_.wvu.PrintArea" localSheetId="32" hidden="1">#REF!</definedName>
    <definedName name="Z_70BF2801_4F4E_4848_9CCA_A6AE52CF77AE_.wvu.PrintArea" localSheetId="35" hidden="1">#REF!</definedName>
    <definedName name="Z_70BF2801_4F4E_4848_9CCA_A6AE52CF77AE_.wvu.PrintArea" localSheetId="0" hidden="1">#REF!</definedName>
    <definedName name="Z_70BF2801_4F4E_4848_9CCA_A6AE52CF77AE_.wvu.PrintArea" localSheetId="13" hidden="1">#REF!</definedName>
    <definedName name="Z_70BF2801_4F4E_4848_9CCA_A6AE52CF77AE_.wvu.PrintArea" hidden="1">#REF!</definedName>
    <definedName name="Z_70BF2801_4F4E_4848_9CCA_A6AE52CF77AE_.wvu.Rows" localSheetId="33" hidden="1">#REF!,#REF!,#REF!,#REF!,#REF!,#REF!,#REF!,#REF!</definedName>
    <definedName name="Z_70BF2801_4F4E_4848_9CCA_A6AE52CF77AE_.wvu.Rows" localSheetId="1" hidden="1">#REF!,#REF!,#REF!,#REF!,#REF!,#REF!,#REF!,#REF!</definedName>
    <definedName name="Z_70BF2801_4F4E_4848_9CCA_A6AE52CF77AE_.wvu.Rows" localSheetId="19" hidden="1">#REF!,#REF!,#REF!,#REF!,#REF!,#REF!,#REF!,#REF!</definedName>
    <definedName name="Z_70BF2801_4F4E_4848_9CCA_A6AE52CF77AE_.wvu.Rows" localSheetId="15" hidden="1">#REF!,#REF!,#REF!,#REF!,#REF!,#REF!,#REF!,#REF!</definedName>
    <definedName name="Z_70BF2801_4F4E_4848_9CCA_A6AE52CF77AE_.wvu.Rows" localSheetId="34" hidden="1">[68]BS!#REF!,[68]BS!#REF!,[68]BS!#REF!,[68]BS!#REF!,[68]BS!#REF!,[68]BS!#REF!,[68]BS!#REF!,[68]BS!$A$1893:$IV$1904</definedName>
    <definedName name="Z_70BF2801_4F4E_4848_9CCA_A6AE52CF77AE_.wvu.Rows" localSheetId="32" hidden="1">#REF!,#REF!,#REF!,#REF!,#REF!,#REF!,#REF!,#REF!</definedName>
    <definedName name="Z_70BF2801_4F4E_4848_9CCA_A6AE52CF77AE_.wvu.Rows" localSheetId="35" hidden="1">#REF!,#REF!,#REF!,#REF!,#REF!,#REF!,#REF!,#REF!</definedName>
    <definedName name="Z_70BF2801_4F4E_4848_9CCA_A6AE52CF77AE_.wvu.Rows" localSheetId="0" hidden="1">#REF!,#REF!,#REF!,#REF!,#REF!,#REF!,#REF!,#REF!</definedName>
    <definedName name="Z_70BF2801_4F4E_4848_9CCA_A6AE52CF77AE_.wvu.Rows" localSheetId="13" hidden="1">#REF!,#REF!,#REF!,#REF!,#REF!,#REF!,#REF!,#REF!</definedName>
    <definedName name="Z_70BF2801_4F4E_4848_9CCA_A6AE52CF77AE_.wvu.Rows" hidden="1">#REF!,#REF!,#REF!,#REF!,#REF!,#REF!,#REF!,#REF!</definedName>
    <definedName name="Z_759827BE_126A_4DA8_9A48_C087589A2891_.wvu.Cols" localSheetId="33" hidden="1">[69]COI!#REF!,[69]COI!#REF!</definedName>
    <definedName name="Z_759827BE_126A_4DA8_9A48_C087589A2891_.wvu.Cols" localSheetId="1" hidden="1">[69]COI!#REF!,[69]COI!#REF!</definedName>
    <definedName name="Z_759827BE_126A_4DA8_9A48_C087589A2891_.wvu.Cols" localSheetId="19" hidden="1">[69]COI!#REF!,[69]COI!#REF!</definedName>
    <definedName name="Z_759827BE_126A_4DA8_9A48_C087589A2891_.wvu.Cols" localSheetId="15" hidden="1">[69]COI!#REF!,[69]COI!#REF!</definedName>
    <definedName name="Z_759827BE_126A_4DA8_9A48_C087589A2891_.wvu.Cols" localSheetId="34" hidden="1">[68]COI!#REF!,[68]COI!#REF!</definedName>
    <definedName name="Z_759827BE_126A_4DA8_9A48_C087589A2891_.wvu.Cols" localSheetId="32" hidden="1">[69]COI!#REF!,[69]COI!#REF!</definedName>
    <definedName name="Z_759827BE_126A_4DA8_9A48_C087589A2891_.wvu.Cols" localSheetId="35" hidden="1">[69]COI!#REF!,[69]COI!#REF!</definedName>
    <definedName name="Z_759827BE_126A_4DA8_9A48_C087589A2891_.wvu.Cols" localSheetId="9" hidden="1">[69]COI!#REF!,[69]COI!#REF!</definedName>
    <definedName name="Z_759827BE_126A_4DA8_9A48_C087589A2891_.wvu.Cols" localSheetId="0" hidden="1">[69]COI!#REF!,[69]COI!#REF!</definedName>
    <definedName name="Z_759827BE_126A_4DA8_9A48_C087589A2891_.wvu.Cols" localSheetId="13" hidden="1">[69]COI!#REF!,[69]COI!#REF!</definedName>
    <definedName name="Z_759827BE_126A_4DA8_9A48_C087589A2891_.wvu.Cols" hidden="1">[69]COI!#REF!,[69]COI!#REF!</definedName>
    <definedName name="Z_759827BE_126A_4DA8_9A48_C087589A2891_.wvu.PrintArea" localSheetId="1" hidden="1">#REF!</definedName>
    <definedName name="Z_759827BE_126A_4DA8_9A48_C087589A2891_.wvu.PrintArea" localSheetId="15" hidden="1">#REF!</definedName>
    <definedName name="Z_759827BE_126A_4DA8_9A48_C087589A2891_.wvu.PrintArea" localSheetId="34" hidden="1">#REF!</definedName>
    <definedName name="Z_759827BE_126A_4DA8_9A48_C087589A2891_.wvu.PrintArea" localSheetId="0" hidden="1">#REF!</definedName>
    <definedName name="Z_759827BE_126A_4DA8_9A48_C087589A2891_.wvu.PrintArea" hidden="1">#REF!</definedName>
    <definedName name="Z_759827BE_126A_4DA8_9A48_C087589A2891_.wvu.Rows" localSheetId="33" hidden="1">[69]COI!#REF!,[69]COI!#REF!,[69]COI!#REF!,[69]COI!#REF!,[69]COI!$A$76:$IV$76,[69]COI!#REF!,[69]COI!#REF!,[69]COI!$A$94:$IV$94,[69]COI!$A$178:$IV$178,[69]COI!$A$181:$IV$183,[69]COI!$A$192:$IV$192,[69]COI!$A$219:$IV$219</definedName>
    <definedName name="Z_759827BE_126A_4DA8_9A48_C087589A2891_.wvu.Rows" localSheetId="1" hidden="1">[69]COI!#REF!,[69]COI!#REF!,[69]COI!#REF!,[69]COI!#REF!,[69]COI!$A$76:$IV$76,[69]COI!#REF!,[69]COI!#REF!,[69]COI!$A$94:$IV$94,[69]COI!$A$178:$IV$178,[69]COI!$A$181:$IV$183,[69]COI!$A$192:$IV$192,[69]COI!$A$219:$IV$219</definedName>
    <definedName name="Z_759827BE_126A_4DA8_9A48_C087589A2891_.wvu.Rows" localSheetId="19" hidden="1">[69]COI!#REF!,[69]COI!#REF!,[69]COI!#REF!,[69]COI!#REF!,[69]COI!$A$76:$IV$76,[69]COI!#REF!,[69]COI!#REF!,[69]COI!$A$94:$IV$94,[69]COI!$A$178:$IV$178,[69]COI!$A$181:$IV$183,[69]COI!$A$192:$IV$192,[69]COI!$A$219:$IV$219</definedName>
    <definedName name="Z_759827BE_126A_4DA8_9A48_C087589A2891_.wvu.Rows" localSheetId="15" hidden="1">[69]COI!#REF!,[69]COI!#REF!,[69]COI!#REF!,[69]COI!#REF!,[69]COI!$A$76:$IV$76,[69]COI!#REF!,[69]COI!#REF!,[69]COI!$A$94:$IV$94,[69]COI!$A$178:$IV$178,[69]COI!$A$181:$IV$183,[69]COI!$A$192:$IV$192,[69]COI!$A$219:$IV$219</definedName>
    <definedName name="Z_759827BE_126A_4DA8_9A48_C087589A2891_.wvu.Rows" localSheetId="34" hidden="1">[68]COI!#REF!,[68]COI!#REF!,[68]COI!#REF!,[68]COI!#REF!,[68]COI!$A$74:$IV$74,[68]COI!#REF!,[68]COI!#REF!,[68]COI!$A$92:$IV$92,[68]COI!$A$176:$IV$176,[68]COI!$A$179:$IV$181,[68]COI!$A$190:$IV$190,[68]COI!$A$217:$IV$217</definedName>
    <definedName name="Z_759827BE_126A_4DA8_9A48_C087589A2891_.wvu.Rows" localSheetId="32" hidden="1">[69]COI!#REF!,[69]COI!#REF!,[69]COI!#REF!,[69]COI!#REF!,[69]COI!$A$76:$IV$76,[69]COI!#REF!,[69]COI!#REF!,[69]COI!$A$94:$IV$94,[69]COI!$A$178:$IV$178,[69]COI!$A$181:$IV$183,[69]COI!$A$192:$IV$192,[69]COI!$A$219:$IV$219</definedName>
    <definedName name="Z_759827BE_126A_4DA8_9A48_C087589A2891_.wvu.Rows" localSheetId="35" hidden="1">[69]COI!#REF!,[69]COI!#REF!,[69]COI!#REF!,[69]COI!#REF!,[69]COI!$A$76:$IV$76,[69]COI!#REF!,[69]COI!#REF!,[69]COI!$A$94:$IV$94,[69]COI!$A$178:$IV$178,[69]COI!$A$181:$IV$183,[69]COI!$A$192:$IV$192,[69]COI!$A$219:$IV$219</definedName>
    <definedName name="Z_759827BE_126A_4DA8_9A48_C087589A2891_.wvu.Rows" localSheetId="9" hidden="1">[69]COI!#REF!,[69]COI!#REF!,[69]COI!#REF!,[69]COI!#REF!,[69]COI!$A$76:$IV$76,[69]COI!#REF!,[69]COI!#REF!,[69]COI!$A$94:$IV$94,[69]COI!$A$178:$IV$178,[69]COI!$A$181:$IV$183,[69]COI!$A$192:$IV$192,[69]COI!$A$219:$IV$219</definedName>
    <definedName name="Z_759827BE_126A_4DA8_9A48_C087589A2891_.wvu.Rows" localSheetId="0" hidden="1">[69]COI!#REF!,[69]COI!#REF!,[69]COI!#REF!,[69]COI!#REF!,[69]COI!$A$76:$IV$76,[69]COI!#REF!,[69]COI!#REF!,[69]COI!$A$94:$IV$94,[69]COI!$A$178:$IV$178,[69]COI!$A$181:$IV$183,[69]COI!$A$192:$IV$192,[69]COI!$A$219:$IV$219</definedName>
    <definedName name="Z_759827BE_126A_4DA8_9A48_C087589A2891_.wvu.Rows" localSheetId="13" hidden="1">[69]COI!#REF!,[69]COI!#REF!,[69]COI!#REF!,[69]COI!#REF!,[69]COI!$A$76:$IV$76,[69]COI!#REF!,[69]COI!#REF!,[69]COI!$A$94:$IV$94,[69]COI!$A$178:$IV$178,[69]COI!$A$181:$IV$183,[69]COI!$A$192:$IV$192,[69]COI!$A$219:$IV$219</definedName>
    <definedName name="Z_759827BE_126A_4DA8_9A48_C087589A2891_.wvu.Rows" hidden="1">[69]COI!#REF!,[69]COI!#REF!,[69]COI!#REF!,[69]COI!#REF!,[69]COI!$A$76:$IV$76,[69]COI!#REF!,[69]COI!#REF!,[69]COI!$A$94:$IV$94,[69]COI!$A$178:$IV$178,[69]COI!$A$181:$IV$183,[69]COI!$A$192:$IV$192,[69]COI!$A$219:$IV$219</definedName>
    <definedName name="Z_76854680_FF75_11D5_90E8_0080AD1B77C1_.wvu.Cols" localSheetId="1" hidden="1">#REF!</definedName>
    <definedName name="Z_76854680_FF75_11D5_90E8_0080AD1B77C1_.wvu.Cols" localSheetId="15" hidden="1">#REF!</definedName>
    <definedName name="Z_76854680_FF75_11D5_90E8_0080AD1B77C1_.wvu.Cols" localSheetId="34" hidden="1">#REF!</definedName>
    <definedName name="Z_76854680_FF75_11D5_90E8_0080AD1B77C1_.wvu.Cols" localSheetId="0" hidden="1">#REF!</definedName>
    <definedName name="Z_76854680_FF75_11D5_90E8_0080AD1B77C1_.wvu.Cols" hidden="1">#REF!</definedName>
    <definedName name="Z_76854680_FF75_11D5_90E8_0080AD1B77C1_.wvu.PrintArea" localSheetId="1" hidden="1">#REF!</definedName>
    <definedName name="Z_76854680_FF75_11D5_90E8_0080AD1B77C1_.wvu.PrintArea" localSheetId="15" hidden="1">#REF!</definedName>
    <definedName name="Z_76854680_FF75_11D5_90E8_0080AD1B77C1_.wvu.PrintArea" localSheetId="34" hidden="1">#REF!</definedName>
    <definedName name="Z_76854680_FF75_11D5_90E8_0080AD1B77C1_.wvu.PrintArea" localSheetId="0" hidden="1">#REF!</definedName>
    <definedName name="Z_76854680_FF75_11D5_90E8_0080AD1B77C1_.wvu.PrintArea" hidden="1">#REF!</definedName>
    <definedName name="Z_76854680_FF75_11D5_90E8_0080AD1B77C1_.wvu.Rows" localSheetId="33" hidden="1">[69]Dep!#REF!,[69]Dep!#REF!,[69]Dep!#REF!</definedName>
    <definedName name="Z_76854680_FF75_11D5_90E8_0080AD1B77C1_.wvu.Rows" localSheetId="1" hidden="1">[69]Dep!#REF!,[69]Dep!#REF!,[69]Dep!#REF!</definedName>
    <definedName name="Z_76854680_FF75_11D5_90E8_0080AD1B77C1_.wvu.Rows" localSheetId="19" hidden="1">[69]Dep!#REF!,[69]Dep!#REF!,[69]Dep!#REF!</definedName>
    <definedName name="Z_76854680_FF75_11D5_90E8_0080AD1B77C1_.wvu.Rows" localSheetId="15" hidden="1">[69]Dep!#REF!,[69]Dep!#REF!,[69]Dep!#REF!</definedName>
    <definedName name="Z_76854680_FF75_11D5_90E8_0080AD1B77C1_.wvu.Rows" localSheetId="34" hidden="1">[68]Dep!#REF!,[68]Dep!#REF!,[68]Dep!#REF!</definedName>
    <definedName name="Z_76854680_FF75_11D5_90E8_0080AD1B77C1_.wvu.Rows" localSheetId="32" hidden="1">[69]Dep!#REF!,[69]Dep!#REF!,[69]Dep!#REF!</definedName>
    <definedName name="Z_76854680_FF75_11D5_90E8_0080AD1B77C1_.wvu.Rows" localSheetId="35" hidden="1">[69]Dep!#REF!,[69]Dep!#REF!,[69]Dep!#REF!</definedName>
    <definedName name="Z_76854680_FF75_11D5_90E8_0080AD1B77C1_.wvu.Rows" localSheetId="9" hidden="1">[69]Dep!#REF!,[69]Dep!#REF!,[69]Dep!#REF!</definedName>
    <definedName name="Z_76854680_FF75_11D5_90E8_0080AD1B77C1_.wvu.Rows" localSheetId="0" hidden="1">[69]Dep!#REF!,[69]Dep!#REF!,[69]Dep!#REF!</definedName>
    <definedName name="Z_76854680_FF75_11D5_90E8_0080AD1B77C1_.wvu.Rows" localSheetId="13" hidden="1">[69]Dep!#REF!,[69]Dep!#REF!,[69]Dep!#REF!</definedName>
    <definedName name="Z_76854680_FF75_11D5_90E8_0080AD1B77C1_.wvu.Rows" hidden="1">[69]Dep!#REF!,[69]Dep!#REF!,[69]Dep!#REF!</definedName>
    <definedName name="Z_81B49422_B94B_11D7_8BE4_000795ABF7ED_.wvu.FilterData" localSheetId="33" hidden="1">#REF!</definedName>
    <definedName name="Z_81B49422_B94B_11D7_8BE4_000795ABF7ED_.wvu.FilterData" localSheetId="1" hidden="1">#REF!</definedName>
    <definedName name="Z_81B49422_B94B_11D7_8BE4_000795ABF7ED_.wvu.FilterData" localSheetId="19" hidden="1">#REF!</definedName>
    <definedName name="Z_81B49422_B94B_11D7_8BE4_000795ABF7ED_.wvu.FilterData" localSheetId="15" hidden="1">#REF!</definedName>
    <definedName name="Z_81B49422_B94B_11D7_8BE4_000795ABF7ED_.wvu.FilterData" localSheetId="34" hidden="1">#REF!</definedName>
    <definedName name="Z_81B49422_B94B_11D7_8BE4_000795ABF7ED_.wvu.FilterData" localSheetId="32" hidden="1">#REF!</definedName>
    <definedName name="Z_81B49422_B94B_11D7_8BE4_000795ABF7ED_.wvu.FilterData" localSheetId="35" hidden="1">#REF!</definedName>
    <definedName name="Z_81B49422_B94B_11D7_8BE4_000795ABF7ED_.wvu.FilterData" localSheetId="0" hidden="1">#REF!</definedName>
    <definedName name="Z_81B49422_B94B_11D7_8BE4_000795ABF7ED_.wvu.FilterData" localSheetId="13" hidden="1">#REF!</definedName>
    <definedName name="Z_81B49422_B94B_11D7_8BE4_000795ABF7ED_.wvu.FilterData" hidden="1">#REF!</definedName>
    <definedName name="Z_858DCAAA_6791_11D7_9DB9_0008A14364AB_.wvu.Rows" localSheetId="33" hidden="1">[69]Dep!#REF!,[69]Dep!#REF!</definedName>
    <definedName name="Z_858DCAAA_6791_11D7_9DB9_0008A14364AB_.wvu.Rows" localSheetId="1" hidden="1">[69]Dep!#REF!,[69]Dep!#REF!</definedName>
    <definedName name="Z_858DCAAA_6791_11D7_9DB9_0008A14364AB_.wvu.Rows" localSheetId="19" hidden="1">[69]Dep!#REF!,[69]Dep!#REF!</definedName>
    <definedName name="Z_858DCAAA_6791_11D7_9DB9_0008A14364AB_.wvu.Rows" localSheetId="15" hidden="1">[69]Dep!#REF!,[69]Dep!#REF!</definedName>
    <definedName name="Z_858DCAAA_6791_11D7_9DB9_0008A14364AB_.wvu.Rows" localSheetId="34" hidden="1">[68]Dep!#REF!,[68]Dep!#REF!</definedName>
    <definedName name="Z_858DCAAA_6791_11D7_9DB9_0008A14364AB_.wvu.Rows" localSheetId="32" hidden="1">[69]Dep!#REF!,[69]Dep!#REF!</definedName>
    <definedName name="Z_858DCAAA_6791_11D7_9DB9_0008A14364AB_.wvu.Rows" localSheetId="35" hidden="1">[69]Dep!#REF!,[69]Dep!#REF!</definedName>
    <definedName name="Z_858DCAAA_6791_11D7_9DB9_0008A14364AB_.wvu.Rows" localSheetId="9" hidden="1">[69]Dep!#REF!,[69]Dep!#REF!</definedName>
    <definedName name="Z_858DCAAA_6791_11D7_9DB9_0008A14364AB_.wvu.Rows" localSheetId="0" hidden="1">[69]Dep!#REF!,[69]Dep!#REF!</definedName>
    <definedName name="Z_858DCAAA_6791_11D7_9DB9_0008A14364AB_.wvu.Rows" localSheetId="13" hidden="1">[69]Dep!#REF!,[69]Dep!#REF!</definedName>
    <definedName name="Z_858DCAAA_6791_11D7_9DB9_0008A14364AB_.wvu.Rows" hidden="1">[69]Dep!#REF!,[69]Dep!#REF!</definedName>
    <definedName name="Z_85B100BE_7668_4BC6_8768_B14514E80945_.wvu.PrintArea" localSheetId="1" hidden="1">#REF!</definedName>
    <definedName name="Z_85B100BE_7668_4BC6_8768_B14514E80945_.wvu.PrintArea" localSheetId="15" hidden="1">#REF!</definedName>
    <definedName name="Z_85B100BE_7668_4BC6_8768_B14514E80945_.wvu.PrintArea" localSheetId="34" hidden="1">#REF!</definedName>
    <definedName name="Z_85B100BE_7668_4BC6_8768_B14514E80945_.wvu.PrintArea" localSheetId="0" hidden="1">#REF!</definedName>
    <definedName name="Z_85B100BE_7668_4BC6_8768_B14514E80945_.wvu.PrintArea" hidden="1">#REF!</definedName>
    <definedName name="Z_85B100BE_7668_4BC6_8768_B14514E80945_.wvu.Rows" localSheetId="1" hidden="1">#REF!</definedName>
    <definedName name="Z_85B100BE_7668_4BC6_8768_B14514E80945_.wvu.Rows" localSheetId="15" hidden="1">#REF!</definedName>
    <definedName name="Z_85B100BE_7668_4BC6_8768_B14514E80945_.wvu.Rows" localSheetId="34" hidden="1">#REF!</definedName>
    <definedName name="Z_85B100BE_7668_4BC6_8768_B14514E80945_.wvu.Rows" localSheetId="0" hidden="1">#REF!</definedName>
    <definedName name="Z_85B100BE_7668_4BC6_8768_B14514E80945_.wvu.Rows" hidden="1">#REF!</definedName>
    <definedName name="Z_873913D5_4C6D_4AAA_9858_E398AB45C5D4_.wvu.FilterData" localSheetId="33" hidden="1">#REF!</definedName>
    <definedName name="Z_873913D5_4C6D_4AAA_9858_E398AB45C5D4_.wvu.FilterData" localSheetId="1" hidden="1">#REF!</definedName>
    <definedName name="Z_873913D5_4C6D_4AAA_9858_E398AB45C5D4_.wvu.FilterData" localSheetId="19" hidden="1">#REF!</definedName>
    <definedName name="Z_873913D5_4C6D_4AAA_9858_E398AB45C5D4_.wvu.FilterData" localSheetId="15" hidden="1">#REF!</definedName>
    <definedName name="Z_873913D5_4C6D_4AAA_9858_E398AB45C5D4_.wvu.FilterData" localSheetId="34" hidden="1">[68]BS!#REF!</definedName>
    <definedName name="Z_873913D5_4C6D_4AAA_9858_E398AB45C5D4_.wvu.FilterData" localSheetId="32" hidden="1">#REF!</definedName>
    <definedName name="Z_873913D5_4C6D_4AAA_9858_E398AB45C5D4_.wvu.FilterData" localSheetId="35" hidden="1">#REF!</definedName>
    <definedName name="Z_873913D5_4C6D_4AAA_9858_E398AB45C5D4_.wvu.FilterData" localSheetId="0" hidden="1">#REF!</definedName>
    <definedName name="Z_873913D5_4C6D_4AAA_9858_E398AB45C5D4_.wvu.FilterData" localSheetId="13" hidden="1">#REF!</definedName>
    <definedName name="Z_873913D5_4C6D_4AAA_9858_E398AB45C5D4_.wvu.FilterData" hidden="1">#REF!</definedName>
    <definedName name="Z_873913D5_4C6D_4AAA_9858_E398AB45C5D4_.wvu.PrintTitles" localSheetId="33" hidden="1">#REF!</definedName>
    <definedName name="Z_873913D5_4C6D_4AAA_9858_E398AB45C5D4_.wvu.PrintTitles" localSheetId="1" hidden="1">#REF!</definedName>
    <definedName name="Z_873913D5_4C6D_4AAA_9858_E398AB45C5D4_.wvu.PrintTitles" localSheetId="19" hidden="1">#REF!</definedName>
    <definedName name="Z_873913D5_4C6D_4AAA_9858_E398AB45C5D4_.wvu.PrintTitles" localSheetId="15" hidden="1">#REF!</definedName>
    <definedName name="Z_873913D5_4C6D_4AAA_9858_E398AB45C5D4_.wvu.PrintTitles" localSheetId="34" hidden="1">#REF!</definedName>
    <definedName name="Z_873913D5_4C6D_4AAA_9858_E398AB45C5D4_.wvu.PrintTitles" localSheetId="32" hidden="1">#REF!</definedName>
    <definedName name="Z_873913D5_4C6D_4AAA_9858_E398AB45C5D4_.wvu.PrintTitles" localSheetId="35" hidden="1">#REF!</definedName>
    <definedName name="Z_873913D5_4C6D_4AAA_9858_E398AB45C5D4_.wvu.PrintTitles" localSheetId="0" hidden="1">#REF!</definedName>
    <definedName name="Z_873913D5_4C6D_4AAA_9858_E398AB45C5D4_.wvu.PrintTitles" localSheetId="13" hidden="1">#REF!</definedName>
    <definedName name="Z_873913D5_4C6D_4AAA_9858_E398AB45C5D4_.wvu.PrintTitles" hidden="1">#REF!</definedName>
    <definedName name="Z_93CF68E4_41DD_43B4_81CE_AB76E39C050C_.wvu.Cols" localSheetId="34" hidden="1">[68]Dep!$F$1:$F$65536,[68]Dep!$J$1:$K$65536</definedName>
    <definedName name="Z_93CF68E4_41DD_43B4_81CE_AB76E39C050C_.wvu.Cols" hidden="1">[69]Dep!$F$1:$F$65536,[69]Dep!$J$1:$K$65536</definedName>
    <definedName name="Z_93CF68E4_41DD_43B4_81CE_AB76E39C050C_.wvu.Rows" localSheetId="33" hidden="1">'[69]Ann A'!#REF!,'[69]Ann A'!#REF!,'[69]Ann A'!#REF!,'[69]Ann A'!#REF!,'[69]Ann A'!#REF!,'[69]Ann A'!#REF!</definedName>
    <definedName name="Z_93CF68E4_41DD_43B4_81CE_AB76E39C050C_.wvu.Rows" localSheetId="1" hidden="1">'[69]Ann A'!#REF!,'[69]Ann A'!#REF!,'[69]Ann A'!#REF!,'[69]Ann A'!#REF!,'[69]Ann A'!#REF!,'[69]Ann A'!#REF!</definedName>
    <definedName name="Z_93CF68E4_41DD_43B4_81CE_AB76E39C050C_.wvu.Rows" localSheetId="19" hidden="1">'[69]Ann A'!#REF!,'[69]Ann A'!#REF!,'[69]Ann A'!#REF!,'[69]Ann A'!#REF!,'[69]Ann A'!#REF!,'[69]Ann A'!#REF!</definedName>
    <definedName name="Z_93CF68E4_41DD_43B4_81CE_AB76E39C050C_.wvu.Rows" localSheetId="15" hidden="1">'[69]Ann A'!#REF!,'[69]Ann A'!#REF!,'[69]Ann A'!#REF!,'[69]Ann A'!#REF!,'[69]Ann A'!#REF!,'[69]Ann A'!#REF!</definedName>
    <definedName name="Z_93CF68E4_41DD_43B4_81CE_AB76E39C050C_.wvu.Rows" localSheetId="34" hidden="1">'[68]Ann A'!#REF!,'[68]Ann A'!#REF!,'[68]Ann A'!#REF!,'[68]Ann A'!#REF!,'[68]Ann A'!#REF!,'[68]Ann A'!#REF!</definedName>
    <definedName name="Z_93CF68E4_41DD_43B4_81CE_AB76E39C050C_.wvu.Rows" localSheetId="32" hidden="1">'[69]Ann A'!#REF!,'[69]Ann A'!#REF!,'[69]Ann A'!#REF!,'[69]Ann A'!#REF!,'[69]Ann A'!#REF!,'[69]Ann A'!#REF!</definedName>
    <definedName name="Z_93CF68E4_41DD_43B4_81CE_AB76E39C050C_.wvu.Rows" localSheetId="35" hidden="1">'[69]Ann A'!#REF!,'[69]Ann A'!#REF!,'[69]Ann A'!#REF!,'[69]Ann A'!#REF!,'[69]Ann A'!#REF!,'[69]Ann A'!#REF!</definedName>
    <definedName name="Z_93CF68E4_41DD_43B4_81CE_AB76E39C050C_.wvu.Rows" localSheetId="9" hidden="1">'[69]Ann A'!#REF!,'[69]Ann A'!#REF!,'[69]Ann A'!#REF!,'[69]Ann A'!#REF!,'[69]Ann A'!#REF!,'[69]Ann A'!#REF!</definedName>
    <definedName name="Z_93CF68E4_41DD_43B4_81CE_AB76E39C050C_.wvu.Rows" localSheetId="0" hidden="1">'[69]Ann A'!#REF!,'[69]Ann A'!#REF!,'[69]Ann A'!#REF!,'[69]Ann A'!#REF!,'[69]Ann A'!#REF!,'[69]Ann A'!#REF!</definedName>
    <definedName name="Z_93CF68E4_41DD_43B4_81CE_AB76E39C050C_.wvu.Rows" localSheetId="13" hidden="1">'[69]Ann A'!#REF!,'[69]Ann A'!#REF!,'[69]Ann A'!#REF!,'[69]Ann A'!#REF!,'[69]Ann A'!#REF!,'[69]Ann A'!#REF!</definedName>
    <definedName name="Z_93CF68E4_41DD_43B4_81CE_AB76E39C050C_.wvu.Rows" hidden="1">'[69]Ann A'!#REF!,'[69]Ann A'!#REF!,'[69]Ann A'!#REF!,'[69]Ann A'!#REF!,'[69]Ann A'!#REF!,'[69]Ann A'!#REF!</definedName>
    <definedName name="Z_9F6FB2C0_A861_11D6_A667_444553540000_.wvu.Rows" localSheetId="1" hidden="1">#REF!</definedName>
    <definedName name="Z_9F6FB2C0_A861_11D6_A667_444553540000_.wvu.Rows" localSheetId="15" hidden="1">#REF!</definedName>
    <definedName name="Z_9F6FB2C0_A861_11D6_A667_444553540000_.wvu.Rows" localSheetId="34" hidden="1">#REF!</definedName>
    <definedName name="Z_9F6FB2C0_A861_11D6_A667_444553540000_.wvu.Rows" localSheetId="0" hidden="1">#REF!</definedName>
    <definedName name="Z_9F6FB2C0_A861_11D6_A667_444553540000_.wvu.Rows" hidden="1">#REF!</definedName>
    <definedName name="Z_A334CDEA_1B26_497C_9E86_391980B45166_.wvu.Cols" localSheetId="33" hidden="1">[69]COI!#REF!,[69]COI!#REF!</definedName>
    <definedName name="Z_A334CDEA_1B26_497C_9E86_391980B45166_.wvu.Cols" localSheetId="1" hidden="1">[69]COI!#REF!,[69]COI!#REF!</definedName>
    <definedName name="Z_A334CDEA_1B26_497C_9E86_391980B45166_.wvu.Cols" localSheetId="19" hidden="1">[69]COI!#REF!,[69]COI!#REF!</definedName>
    <definedName name="Z_A334CDEA_1B26_497C_9E86_391980B45166_.wvu.Cols" localSheetId="15" hidden="1">[69]COI!#REF!,[69]COI!#REF!</definedName>
    <definedName name="Z_A334CDEA_1B26_497C_9E86_391980B45166_.wvu.Cols" localSheetId="34" hidden="1">[68]COI!#REF!,[68]COI!#REF!</definedName>
    <definedName name="Z_A334CDEA_1B26_497C_9E86_391980B45166_.wvu.Cols" localSheetId="32" hidden="1">[69]COI!#REF!,[69]COI!#REF!</definedName>
    <definedName name="Z_A334CDEA_1B26_497C_9E86_391980B45166_.wvu.Cols" localSheetId="35" hidden="1">[69]COI!#REF!,[69]COI!#REF!</definedName>
    <definedName name="Z_A334CDEA_1B26_497C_9E86_391980B45166_.wvu.Cols" localSheetId="9" hidden="1">[69]COI!#REF!,[69]COI!#REF!</definedName>
    <definedName name="Z_A334CDEA_1B26_497C_9E86_391980B45166_.wvu.Cols" localSheetId="0" hidden="1">[69]COI!#REF!,[69]COI!#REF!</definedName>
    <definedName name="Z_A334CDEA_1B26_497C_9E86_391980B45166_.wvu.Cols" localSheetId="13" hidden="1">[69]COI!#REF!,[69]COI!#REF!</definedName>
    <definedName name="Z_A334CDEA_1B26_497C_9E86_391980B45166_.wvu.Cols" hidden="1">[69]COI!#REF!,[69]COI!#REF!</definedName>
    <definedName name="Z_A334CDEA_1B26_497C_9E86_391980B45166_.wvu.PrintArea" localSheetId="1" hidden="1">#REF!</definedName>
    <definedName name="Z_A334CDEA_1B26_497C_9E86_391980B45166_.wvu.PrintArea" localSheetId="15" hidden="1">#REF!</definedName>
    <definedName name="Z_A334CDEA_1B26_497C_9E86_391980B45166_.wvu.PrintArea" localSheetId="34" hidden="1">#REF!</definedName>
    <definedName name="Z_A334CDEA_1B26_497C_9E86_391980B45166_.wvu.PrintArea" localSheetId="0" hidden="1">#REF!</definedName>
    <definedName name="Z_A334CDEA_1B26_497C_9E86_391980B45166_.wvu.PrintArea" hidden="1">#REF!</definedName>
    <definedName name="Z_A334CDEA_1B26_497C_9E86_391980B45166_.wvu.Rows" localSheetId="33" hidden="1">[69]COI!#REF!,[69]COI!#REF!,[69]COI!#REF!,[69]COI!#REF!,[69]COI!#REF!,[69]COI!$A$76:$IV$76,[69]COI!$A$78:$IV$92,[69]COI!$A$94:$IV$94,[69]COI!$A$178:$IV$178,[69]COI!$A$181:$IV$183,[69]COI!$A$192:$IV$192,[69]COI!$A$219:$IV$219</definedName>
    <definedName name="Z_A334CDEA_1B26_497C_9E86_391980B45166_.wvu.Rows" localSheetId="1" hidden="1">[69]COI!#REF!,[69]COI!#REF!,[69]COI!#REF!,[69]COI!#REF!,[69]COI!#REF!,[69]COI!$A$76:$IV$76,[69]COI!$A$78:$IV$92,[69]COI!$A$94:$IV$94,[69]COI!$A$178:$IV$178,[69]COI!$A$181:$IV$183,[69]COI!$A$192:$IV$192,[69]COI!$A$219:$IV$219</definedName>
    <definedName name="Z_A334CDEA_1B26_497C_9E86_391980B45166_.wvu.Rows" localSheetId="19" hidden="1">[69]COI!#REF!,[69]COI!#REF!,[69]COI!#REF!,[69]COI!#REF!,[69]COI!#REF!,[69]COI!$A$76:$IV$76,[69]COI!$A$78:$IV$92,[69]COI!$A$94:$IV$94,[69]COI!$A$178:$IV$178,[69]COI!$A$181:$IV$183,[69]COI!$A$192:$IV$192,[69]COI!$A$219:$IV$219</definedName>
    <definedName name="Z_A334CDEA_1B26_497C_9E86_391980B45166_.wvu.Rows" localSheetId="15" hidden="1">[69]COI!#REF!,[69]COI!#REF!,[69]COI!#REF!,[69]COI!#REF!,[69]COI!#REF!,[69]COI!$A$76:$IV$76,[69]COI!$A$78:$IV$92,[69]COI!$A$94:$IV$94,[69]COI!$A$178:$IV$178,[69]COI!$A$181:$IV$183,[69]COI!$A$192:$IV$192,[69]COI!$A$219:$IV$219</definedName>
    <definedName name="Z_A334CDEA_1B26_497C_9E86_391980B45166_.wvu.Rows" localSheetId="34" hidden="1">[68]COI!#REF!,[68]COI!#REF!,[68]COI!#REF!,[68]COI!#REF!,[68]COI!#REF!,[68]COI!$A$74:$IV$74,[68]COI!$A$76:$IV$90,[68]COI!$A$92:$IV$92,[68]COI!$A$176:$IV$176,[68]COI!$A$179:$IV$181,[68]COI!$A$190:$IV$190,[68]COI!$A$217:$IV$217</definedName>
    <definedName name="Z_A334CDEA_1B26_497C_9E86_391980B45166_.wvu.Rows" localSheetId="32" hidden="1">[69]COI!#REF!,[69]COI!#REF!,[69]COI!#REF!,[69]COI!#REF!,[69]COI!#REF!,[69]COI!$A$76:$IV$76,[69]COI!$A$78:$IV$92,[69]COI!$A$94:$IV$94,[69]COI!$A$178:$IV$178,[69]COI!$A$181:$IV$183,[69]COI!$A$192:$IV$192,[69]COI!$A$219:$IV$219</definedName>
    <definedName name="Z_A334CDEA_1B26_497C_9E86_391980B45166_.wvu.Rows" localSheetId="35" hidden="1">[69]COI!#REF!,[69]COI!#REF!,[69]COI!#REF!,[69]COI!#REF!,[69]COI!#REF!,[69]COI!$A$76:$IV$76,[69]COI!$A$78:$IV$92,[69]COI!$A$94:$IV$94,[69]COI!$A$178:$IV$178,[69]COI!$A$181:$IV$183,[69]COI!$A$192:$IV$192,[69]COI!$A$219:$IV$219</definedName>
    <definedName name="Z_A334CDEA_1B26_497C_9E86_391980B45166_.wvu.Rows" localSheetId="9" hidden="1">[69]COI!#REF!,[69]COI!#REF!,[69]COI!#REF!,[69]COI!#REF!,[69]COI!#REF!,[69]COI!$A$76:$IV$76,[69]COI!$A$78:$IV$92,[69]COI!$A$94:$IV$94,[69]COI!$A$178:$IV$178,[69]COI!$A$181:$IV$183,[69]COI!$A$192:$IV$192,[69]COI!$A$219:$IV$219</definedName>
    <definedName name="Z_A334CDEA_1B26_497C_9E86_391980B45166_.wvu.Rows" localSheetId="0" hidden="1">[69]COI!#REF!,[69]COI!#REF!,[69]COI!#REF!,[69]COI!#REF!,[69]COI!#REF!,[69]COI!$A$76:$IV$76,[69]COI!$A$78:$IV$92,[69]COI!$A$94:$IV$94,[69]COI!$A$178:$IV$178,[69]COI!$A$181:$IV$183,[69]COI!$A$192:$IV$192,[69]COI!$A$219:$IV$219</definedName>
    <definedName name="Z_A334CDEA_1B26_497C_9E86_391980B45166_.wvu.Rows" localSheetId="13" hidden="1">[69]COI!#REF!,[69]COI!#REF!,[69]COI!#REF!,[69]COI!#REF!,[69]COI!#REF!,[69]COI!$A$76:$IV$76,[69]COI!$A$78:$IV$92,[69]COI!$A$94:$IV$94,[69]COI!$A$178:$IV$178,[69]COI!$A$181:$IV$183,[69]COI!$A$192:$IV$192,[69]COI!$A$219:$IV$219</definedName>
    <definedName name="Z_A334CDEA_1B26_497C_9E86_391980B45166_.wvu.Rows" hidden="1">[69]COI!#REF!,[69]COI!#REF!,[69]COI!#REF!,[69]COI!#REF!,[69]COI!#REF!,[69]COI!$A$76:$IV$76,[69]COI!$A$78:$IV$92,[69]COI!$A$94:$IV$94,[69]COI!$A$178:$IV$178,[69]COI!$A$181:$IV$183,[69]COI!$A$192:$IV$192,[69]COI!$A$219:$IV$219</definedName>
    <definedName name="Z_ABF241F9_150E_41C3_9F82_17660A825266_.wvu.PrintArea" localSheetId="1" hidden="1">#REF!</definedName>
    <definedName name="Z_ABF241F9_150E_41C3_9F82_17660A825266_.wvu.PrintArea" localSheetId="15" hidden="1">#REF!</definedName>
    <definedName name="Z_ABF241F9_150E_41C3_9F82_17660A825266_.wvu.PrintArea" localSheetId="34" hidden="1">#REF!</definedName>
    <definedName name="Z_ABF241F9_150E_41C3_9F82_17660A825266_.wvu.PrintArea" localSheetId="0" hidden="1">#REF!</definedName>
    <definedName name="Z_ABF241F9_150E_41C3_9F82_17660A825266_.wvu.PrintArea" hidden="1">#REF!</definedName>
    <definedName name="Z_ABF241F9_150E_41C3_9F82_17660A825266_.wvu.Rows" localSheetId="1" hidden="1">#REF!</definedName>
    <definedName name="Z_ABF241F9_150E_41C3_9F82_17660A825266_.wvu.Rows" localSheetId="15" hidden="1">#REF!</definedName>
    <definedName name="Z_ABF241F9_150E_41C3_9F82_17660A825266_.wvu.Rows" localSheetId="34" hidden="1">#REF!</definedName>
    <definedName name="Z_ABF241F9_150E_41C3_9F82_17660A825266_.wvu.Rows" localSheetId="0" hidden="1">#REF!</definedName>
    <definedName name="Z_ABF241F9_150E_41C3_9F82_17660A825266_.wvu.Rows" hidden="1">#REF!</definedName>
    <definedName name="Z_BD120193_CED6_4E7F_9CAF_4B1A3FAB6783_.wvu.Rows" localSheetId="33" hidden="1">[69]Value!#REF!,[69]Value!#REF!,[69]Value!#REF!</definedName>
    <definedName name="Z_BD120193_CED6_4E7F_9CAF_4B1A3FAB6783_.wvu.Rows" localSheetId="1" hidden="1">[69]Value!#REF!,[69]Value!#REF!,[69]Value!#REF!</definedName>
    <definedName name="Z_BD120193_CED6_4E7F_9CAF_4B1A3FAB6783_.wvu.Rows" localSheetId="19" hidden="1">[69]Value!#REF!,[69]Value!#REF!,[69]Value!#REF!</definedName>
    <definedName name="Z_BD120193_CED6_4E7F_9CAF_4B1A3FAB6783_.wvu.Rows" localSheetId="15" hidden="1">[69]Value!#REF!,[69]Value!#REF!,[69]Value!#REF!</definedName>
    <definedName name="Z_BD120193_CED6_4E7F_9CAF_4B1A3FAB6783_.wvu.Rows" localSheetId="34" hidden="1">[68]Value!#REF!,[68]Value!#REF!,[68]Value!#REF!</definedName>
    <definedName name="Z_BD120193_CED6_4E7F_9CAF_4B1A3FAB6783_.wvu.Rows" localSheetId="32" hidden="1">[69]Value!#REF!,[69]Value!#REF!,[69]Value!#REF!</definedName>
    <definedName name="Z_BD120193_CED6_4E7F_9CAF_4B1A3FAB6783_.wvu.Rows" localSheetId="35" hidden="1">[69]Value!#REF!,[69]Value!#REF!,[69]Value!#REF!</definedName>
    <definedName name="Z_BD120193_CED6_4E7F_9CAF_4B1A3FAB6783_.wvu.Rows" localSheetId="9" hidden="1">[69]Value!#REF!,[69]Value!#REF!,[69]Value!#REF!</definedName>
    <definedName name="Z_BD120193_CED6_4E7F_9CAF_4B1A3FAB6783_.wvu.Rows" localSheetId="0" hidden="1">[69]Value!#REF!,[69]Value!#REF!,[69]Value!#REF!</definedName>
    <definedName name="Z_BD120193_CED6_4E7F_9CAF_4B1A3FAB6783_.wvu.Rows" localSheetId="13" hidden="1">[69]Value!#REF!,[69]Value!#REF!,[69]Value!#REF!</definedName>
    <definedName name="Z_BD120193_CED6_4E7F_9CAF_4B1A3FAB6783_.wvu.Rows" hidden="1">[69]Value!#REF!,[69]Value!#REF!,[69]Value!#REF!</definedName>
    <definedName name="Z_C80FA4E1_1D1A_481E_8BCE_44B44A80609D_.wvu.FilterData" localSheetId="33" hidden="1">#REF!</definedName>
    <definedName name="Z_C80FA4E1_1D1A_481E_8BCE_44B44A80609D_.wvu.FilterData" localSheetId="1" hidden="1">#REF!</definedName>
    <definedName name="Z_C80FA4E1_1D1A_481E_8BCE_44B44A80609D_.wvu.FilterData" localSheetId="19" hidden="1">#REF!</definedName>
    <definedName name="Z_C80FA4E1_1D1A_481E_8BCE_44B44A80609D_.wvu.FilterData" localSheetId="15" hidden="1">#REF!</definedName>
    <definedName name="Z_C80FA4E1_1D1A_481E_8BCE_44B44A80609D_.wvu.FilterData" localSheetId="34" hidden="1">[68]BS!#REF!</definedName>
    <definedName name="Z_C80FA4E1_1D1A_481E_8BCE_44B44A80609D_.wvu.FilterData" localSheetId="32" hidden="1">#REF!</definedName>
    <definedName name="Z_C80FA4E1_1D1A_481E_8BCE_44B44A80609D_.wvu.FilterData" localSheetId="35" hidden="1">#REF!</definedName>
    <definedName name="Z_C80FA4E1_1D1A_481E_8BCE_44B44A80609D_.wvu.FilterData" localSheetId="0" hidden="1">#REF!</definedName>
    <definedName name="Z_C80FA4E1_1D1A_481E_8BCE_44B44A80609D_.wvu.FilterData" localSheetId="13" hidden="1">#REF!</definedName>
    <definedName name="Z_C80FA4E1_1D1A_481E_8BCE_44B44A80609D_.wvu.FilterData" hidden="1">#REF!</definedName>
    <definedName name="Z_D56D62A7_8091_4012_A10F_A462838BC292_.wvu.Rows" localSheetId="33" hidden="1">#REF!,#REF!,#REF!,#REF!,#REF!,#REF!,#REF!</definedName>
    <definedName name="Z_D56D62A7_8091_4012_A10F_A462838BC292_.wvu.Rows" localSheetId="1" hidden="1">#REF!,#REF!,#REF!,#REF!,#REF!,#REF!,#REF!</definedName>
    <definedName name="Z_D56D62A7_8091_4012_A10F_A462838BC292_.wvu.Rows" localSheetId="19" hidden="1">#REF!,#REF!,#REF!,#REF!,#REF!,#REF!,#REF!</definedName>
    <definedName name="Z_D56D62A7_8091_4012_A10F_A462838BC292_.wvu.Rows" localSheetId="15" hidden="1">#REF!,#REF!,#REF!,#REF!,#REF!,#REF!,#REF!</definedName>
    <definedName name="Z_D56D62A7_8091_4012_A10F_A462838BC292_.wvu.Rows" localSheetId="34" hidden="1">[68]BS!#REF!,[68]BS!#REF!,[68]BS!#REF!,[68]BS!#REF!,[68]BS!#REF!,[68]BS!#REF!,[68]BS!$A$1893:$IV$1904</definedName>
    <definedName name="Z_D56D62A7_8091_4012_A10F_A462838BC292_.wvu.Rows" localSheetId="32" hidden="1">#REF!,#REF!,#REF!,#REF!,#REF!,#REF!,#REF!</definedName>
    <definedName name="Z_D56D62A7_8091_4012_A10F_A462838BC292_.wvu.Rows" localSheetId="35" hidden="1">#REF!,#REF!,#REF!,#REF!,#REF!,#REF!,#REF!</definedName>
    <definedName name="Z_D56D62A7_8091_4012_A10F_A462838BC292_.wvu.Rows" localSheetId="0" hidden="1">#REF!,#REF!,#REF!,#REF!,#REF!,#REF!,#REF!</definedName>
    <definedName name="Z_D56D62A7_8091_4012_A10F_A462838BC292_.wvu.Rows" localSheetId="13" hidden="1">#REF!,#REF!,#REF!,#REF!,#REF!,#REF!,#REF!</definedName>
    <definedName name="Z_D56D62A7_8091_4012_A10F_A462838BC292_.wvu.Rows" hidden="1">#REF!,#REF!,#REF!,#REF!,#REF!,#REF!,#REF!</definedName>
    <definedName name="Z_DECB9532_B929_4DF0_AF97_7264233CC0D3_.wvu.Rows" localSheetId="33" hidden="1">[69]Value!#REF!,[69]Value!#REF!,[69]Value!#REF!</definedName>
    <definedName name="Z_DECB9532_B929_4DF0_AF97_7264233CC0D3_.wvu.Rows" localSheetId="1" hidden="1">[69]Value!#REF!,[69]Value!#REF!,[69]Value!#REF!</definedName>
    <definedName name="Z_DECB9532_B929_4DF0_AF97_7264233CC0D3_.wvu.Rows" localSheetId="19" hidden="1">[69]Value!#REF!,[69]Value!#REF!,[69]Value!#REF!</definedName>
    <definedName name="Z_DECB9532_B929_4DF0_AF97_7264233CC0D3_.wvu.Rows" localSheetId="15" hidden="1">[69]Value!#REF!,[69]Value!#REF!,[69]Value!#REF!</definedName>
    <definedName name="Z_DECB9532_B929_4DF0_AF97_7264233CC0D3_.wvu.Rows" localSheetId="34" hidden="1">[68]Value!#REF!,[68]Value!#REF!,[68]Value!#REF!</definedName>
    <definedName name="Z_DECB9532_B929_4DF0_AF97_7264233CC0D3_.wvu.Rows" localSheetId="32" hidden="1">[69]Value!#REF!,[69]Value!#REF!,[69]Value!#REF!</definedName>
    <definedName name="Z_DECB9532_B929_4DF0_AF97_7264233CC0D3_.wvu.Rows" localSheetId="35" hidden="1">[69]Value!#REF!,[69]Value!#REF!,[69]Value!#REF!</definedName>
    <definedName name="Z_DECB9532_B929_4DF0_AF97_7264233CC0D3_.wvu.Rows" localSheetId="9" hidden="1">[69]Value!#REF!,[69]Value!#REF!,[69]Value!#REF!</definedName>
    <definedName name="Z_DECB9532_B929_4DF0_AF97_7264233CC0D3_.wvu.Rows" localSheetId="0" hidden="1">[69]Value!#REF!,[69]Value!#REF!,[69]Value!#REF!</definedName>
    <definedName name="Z_DECB9532_B929_4DF0_AF97_7264233CC0D3_.wvu.Rows" localSheetId="13" hidden="1">[69]Value!#REF!,[69]Value!#REF!,[69]Value!#REF!</definedName>
    <definedName name="Z_DECB9532_B929_4DF0_AF97_7264233CC0D3_.wvu.Rows" hidden="1">[69]Value!#REF!,[69]Value!#REF!,[69]Value!#REF!</definedName>
    <definedName name="Z_F039C147_8083_49A0_B541_A610A15BA793_.wvu.Cols" localSheetId="34" hidden="1">'IT Dep'!$H:$I</definedName>
    <definedName name="Z_F140806D_66CA_4A66_855A_CCBDE7D69760_.wvu.Cols" localSheetId="34" hidden="1">'IT Dep'!$H:$I</definedName>
    <definedName name="Z_F28CBC21_556C_11DB_93B8_0008A132C219_.wvu.Cols" localSheetId="33" hidden="1">[69]COI!#REF!,[69]COI!#REF!</definedName>
    <definedName name="Z_F28CBC21_556C_11DB_93B8_0008A132C219_.wvu.Cols" localSheetId="1" hidden="1">[69]COI!#REF!,[69]COI!#REF!</definedName>
    <definedName name="Z_F28CBC21_556C_11DB_93B8_0008A132C219_.wvu.Cols" localSheetId="19" hidden="1">[69]COI!#REF!,[69]COI!#REF!</definedName>
    <definedName name="Z_F28CBC21_556C_11DB_93B8_0008A132C219_.wvu.Cols" localSheetId="15" hidden="1">[69]COI!#REF!,[69]COI!#REF!</definedName>
    <definedName name="Z_F28CBC21_556C_11DB_93B8_0008A132C219_.wvu.Cols" localSheetId="34" hidden="1">[68]COI!#REF!,[68]COI!#REF!</definedName>
    <definedName name="Z_F28CBC21_556C_11DB_93B8_0008A132C219_.wvu.Cols" localSheetId="32" hidden="1">[69]COI!#REF!,[69]COI!#REF!</definedName>
    <definedName name="Z_F28CBC21_556C_11DB_93B8_0008A132C219_.wvu.Cols" localSheetId="35" hidden="1">[69]COI!#REF!,[69]COI!#REF!</definedName>
    <definedName name="Z_F28CBC21_556C_11DB_93B8_0008A132C219_.wvu.Cols" localSheetId="9" hidden="1">[69]COI!#REF!,[69]COI!#REF!</definedName>
    <definedName name="Z_F28CBC21_556C_11DB_93B8_0008A132C219_.wvu.Cols" localSheetId="0" hidden="1">[69]COI!#REF!,[69]COI!#REF!</definedName>
    <definedName name="Z_F28CBC21_556C_11DB_93B8_0008A132C219_.wvu.Cols" localSheetId="13" hidden="1">[69]COI!#REF!,[69]COI!#REF!</definedName>
    <definedName name="Z_F28CBC21_556C_11DB_93B8_0008A132C219_.wvu.Cols" hidden="1">[69]COI!#REF!,[69]COI!#REF!</definedName>
    <definedName name="Z_F28CBC21_556C_11DB_93B8_0008A132C219_.wvu.PrintArea" localSheetId="1" hidden="1">#REF!</definedName>
    <definedName name="Z_F28CBC21_556C_11DB_93B8_0008A132C219_.wvu.PrintArea" localSheetId="15" hidden="1">#REF!</definedName>
    <definedName name="Z_F28CBC21_556C_11DB_93B8_0008A132C219_.wvu.PrintArea" localSheetId="34" hidden="1">#REF!</definedName>
    <definedName name="Z_F28CBC21_556C_11DB_93B8_0008A132C219_.wvu.PrintArea" localSheetId="0" hidden="1">#REF!</definedName>
    <definedName name="Z_F28CBC21_556C_11DB_93B8_0008A132C219_.wvu.PrintArea" hidden="1">#REF!</definedName>
    <definedName name="Z_F28CBC21_556C_11DB_93B8_0008A132C219_.wvu.Rows" localSheetId="33" hidden="1">[69]COI!#REF!,[69]COI!#REF!,[69]COI!#REF!,[69]COI!#REF!,[69]COI!$A$76:$IV$76,[69]COI!#REF!,[69]COI!#REF!,[69]COI!$A$94:$IV$94,[69]COI!$A$178:$IV$178,[69]COI!$A$181:$IV$183,[69]COI!$A$192:$IV$192,[69]COI!$A$219:$IV$219</definedName>
    <definedName name="Z_F28CBC21_556C_11DB_93B8_0008A132C219_.wvu.Rows" localSheetId="1" hidden="1">[69]COI!#REF!,[69]COI!#REF!,[69]COI!#REF!,[69]COI!#REF!,[69]COI!$A$76:$IV$76,[69]COI!#REF!,[69]COI!#REF!,[69]COI!$A$94:$IV$94,[69]COI!$A$178:$IV$178,[69]COI!$A$181:$IV$183,[69]COI!$A$192:$IV$192,[69]COI!$A$219:$IV$219</definedName>
    <definedName name="Z_F28CBC21_556C_11DB_93B8_0008A132C219_.wvu.Rows" localSheetId="19" hidden="1">[69]COI!#REF!,[69]COI!#REF!,[69]COI!#REF!,[69]COI!#REF!,[69]COI!$A$76:$IV$76,[69]COI!#REF!,[69]COI!#REF!,[69]COI!$A$94:$IV$94,[69]COI!$A$178:$IV$178,[69]COI!$A$181:$IV$183,[69]COI!$A$192:$IV$192,[69]COI!$A$219:$IV$219</definedName>
    <definedName name="Z_F28CBC21_556C_11DB_93B8_0008A132C219_.wvu.Rows" localSheetId="15" hidden="1">[69]COI!#REF!,[69]COI!#REF!,[69]COI!#REF!,[69]COI!#REF!,[69]COI!$A$76:$IV$76,[69]COI!#REF!,[69]COI!#REF!,[69]COI!$A$94:$IV$94,[69]COI!$A$178:$IV$178,[69]COI!$A$181:$IV$183,[69]COI!$A$192:$IV$192,[69]COI!$A$219:$IV$219</definedName>
    <definedName name="Z_F28CBC21_556C_11DB_93B8_0008A132C219_.wvu.Rows" localSheetId="34" hidden="1">[68]COI!#REF!,[68]COI!#REF!,[68]COI!#REF!,[68]COI!#REF!,[68]COI!$A$74:$IV$74,[68]COI!#REF!,[68]COI!#REF!,[68]COI!$A$92:$IV$92,[68]COI!$A$176:$IV$176,[68]COI!$A$179:$IV$181,[68]COI!$A$190:$IV$190,[68]COI!$A$217:$IV$217</definedName>
    <definedName name="Z_F28CBC21_556C_11DB_93B8_0008A132C219_.wvu.Rows" localSheetId="32" hidden="1">[69]COI!#REF!,[69]COI!#REF!,[69]COI!#REF!,[69]COI!#REF!,[69]COI!$A$76:$IV$76,[69]COI!#REF!,[69]COI!#REF!,[69]COI!$A$94:$IV$94,[69]COI!$A$178:$IV$178,[69]COI!$A$181:$IV$183,[69]COI!$A$192:$IV$192,[69]COI!$A$219:$IV$219</definedName>
    <definedName name="Z_F28CBC21_556C_11DB_93B8_0008A132C219_.wvu.Rows" localSheetId="35" hidden="1">[69]COI!#REF!,[69]COI!#REF!,[69]COI!#REF!,[69]COI!#REF!,[69]COI!$A$76:$IV$76,[69]COI!#REF!,[69]COI!#REF!,[69]COI!$A$94:$IV$94,[69]COI!$A$178:$IV$178,[69]COI!$A$181:$IV$183,[69]COI!$A$192:$IV$192,[69]COI!$A$219:$IV$219</definedName>
    <definedName name="Z_F28CBC21_556C_11DB_93B8_0008A132C219_.wvu.Rows" localSheetId="9" hidden="1">[69]COI!#REF!,[69]COI!#REF!,[69]COI!#REF!,[69]COI!#REF!,[69]COI!$A$76:$IV$76,[69]COI!#REF!,[69]COI!#REF!,[69]COI!$A$94:$IV$94,[69]COI!$A$178:$IV$178,[69]COI!$A$181:$IV$183,[69]COI!$A$192:$IV$192,[69]COI!$A$219:$IV$219</definedName>
    <definedName name="Z_F28CBC21_556C_11DB_93B8_0008A132C219_.wvu.Rows" localSheetId="0" hidden="1">[69]COI!#REF!,[69]COI!#REF!,[69]COI!#REF!,[69]COI!#REF!,[69]COI!$A$76:$IV$76,[69]COI!#REF!,[69]COI!#REF!,[69]COI!$A$94:$IV$94,[69]COI!$A$178:$IV$178,[69]COI!$A$181:$IV$183,[69]COI!$A$192:$IV$192,[69]COI!$A$219:$IV$219</definedName>
    <definedName name="Z_F28CBC21_556C_11DB_93B8_0008A132C219_.wvu.Rows" localSheetId="13" hidden="1">[69]COI!#REF!,[69]COI!#REF!,[69]COI!#REF!,[69]COI!#REF!,[69]COI!$A$76:$IV$76,[69]COI!#REF!,[69]COI!#REF!,[69]COI!$A$94:$IV$94,[69]COI!$A$178:$IV$178,[69]COI!$A$181:$IV$183,[69]COI!$A$192:$IV$192,[69]COI!$A$219:$IV$219</definedName>
    <definedName name="Z_F28CBC21_556C_11DB_93B8_0008A132C219_.wvu.Rows" hidden="1">[69]COI!#REF!,[69]COI!#REF!,[69]COI!#REF!,[69]COI!#REF!,[69]COI!$A$76:$IV$76,[69]COI!#REF!,[69]COI!#REF!,[69]COI!$A$94:$IV$94,[69]COI!$A$178:$IV$178,[69]COI!$A$181:$IV$183,[69]COI!$A$192:$IV$192,[69]COI!$A$219:$IV$219</definedName>
    <definedName name="Z_FECDEFC0_A783_4C3E_A42B_0363B174BEE2_.wvu.FilterData" localSheetId="33" hidden="1">#REF!</definedName>
    <definedName name="Z_FECDEFC0_A783_4C3E_A42B_0363B174BEE2_.wvu.FilterData" localSheetId="1" hidden="1">#REF!</definedName>
    <definedName name="Z_FECDEFC0_A783_4C3E_A42B_0363B174BEE2_.wvu.FilterData" localSheetId="19" hidden="1">#REF!</definedName>
    <definedName name="Z_FECDEFC0_A783_4C3E_A42B_0363B174BEE2_.wvu.FilterData" localSheetId="15" hidden="1">#REF!</definedName>
    <definedName name="Z_FECDEFC0_A783_4C3E_A42B_0363B174BEE2_.wvu.FilterData" localSheetId="34" hidden="1">[68]BS!#REF!</definedName>
    <definedName name="Z_FECDEFC0_A783_4C3E_A42B_0363B174BEE2_.wvu.FilterData" localSheetId="32" hidden="1">#REF!</definedName>
    <definedName name="Z_FECDEFC0_A783_4C3E_A42B_0363B174BEE2_.wvu.FilterData" localSheetId="35" hidden="1">#REF!</definedName>
    <definedName name="Z_FECDEFC0_A783_4C3E_A42B_0363B174BEE2_.wvu.FilterData" localSheetId="0" hidden="1">#REF!</definedName>
    <definedName name="Z_FECDEFC0_A783_4C3E_A42B_0363B174BEE2_.wvu.FilterData" localSheetId="13" hidden="1">#REF!</definedName>
    <definedName name="Z_FECDEFC0_A783_4C3E_A42B_0363B174BEE2_.wvu.FilterData" hidden="1">#REF!</definedName>
    <definedName name="Z_FECDEFC0_A783_4C3E_A42B_0363B174BEE2_.wvu.PrintTitles" localSheetId="33" hidden="1">#REF!</definedName>
    <definedName name="Z_FECDEFC0_A783_4C3E_A42B_0363B174BEE2_.wvu.PrintTitles" localSheetId="1" hidden="1">#REF!</definedName>
    <definedName name="Z_FECDEFC0_A783_4C3E_A42B_0363B174BEE2_.wvu.PrintTitles" localSheetId="19" hidden="1">#REF!</definedName>
    <definedName name="Z_FECDEFC0_A783_4C3E_A42B_0363B174BEE2_.wvu.PrintTitles" localSheetId="15" hidden="1">#REF!</definedName>
    <definedName name="Z_FECDEFC0_A783_4C3E_A42B_0363B174BEE2_.wvu.PrintTitles" localSheetId="34" hidden="1">#REF!</definedName>
    <definedName name="Z_FECDEFC0_A783_4C3E_A42B_0363B174BEE2_.wvu.PrintTitles" localSheetId="32" hidden="1">#REF!</definedName>
    <definedName name="Z_FECDEFC0_A783_4C3E_A42B_0363B174BEE2_.wvu.PrintTitles" localSheetId="35" hidden="1">#REF!</definedName>
    <definedName name="Z_FECDEFC0_A783_4C3E_A42B_0363B174BEE2_.wvu.PrintTitles" localSheetId="0" hidden="1">#REF!</definedName>
    <definedName name="Z_FECDEFC0_A783_4C3E_A42B_0363B174BEE2_.wvu.PrintTitles" localSheetId="13" hidden="1">#REF!</definedName>
    <definedName name="Z_FECDEFC0_A783_4C3E_A42B_0363B174BEE2_.wvu.PrintTitles" hidden="1">#REF!</definedName>
    <definedName name="zcx" localSheetId="34"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localSheetId="3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localSheetId="9"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localSheetId="0"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zcx"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s>
  <calcPr calcId="191029"/>
  <pivotCaches>
    <pivotCache cacheId="2" r:id="rId12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1" i="5" l="1"/>
  <c r="B53" i="36"/>
  <c r="C51" i="36" l="1"/>
  <c r="B51" i="36"/>
  <c r="B38" i="5"/>
  <c r="B38" i="36" s="1"/>
  <c r="F366" i="40"/>
  <c r="C367" i="40"/>
  <c r="F367" i="40" s="1"/>
  <c r="C366" i="40"/>
  <c r="C365" i="40"/>
  <c r="F365" i="40" s="1"/>
  <c r="C364" i="40"/>
  <c r="F364" i="40" s="1"/>
  <c r="C363" i="40"/>
  <c r="F363" i="40" s="1"/>
  <c r="C362" i="40"/>
  <c r="F362" i="40" s="1"/>
  <c r="C361" i="40"/>
  <c r="F361" i="40" s="1"/>
  <c r="F353" i="40"/>
  <c r="C357" i="40"/>
  <c r="F357" i="40" s="1"/>
  <c r="C356" i="40"/>
  <c r="F356" i="40" s="1"/>
  <c r="C355" i="40"/>
  <c r="F355" i="40" s="1"/>
  <c r="C354" i="40"/>
  <c r="F354" i="40" s="1"/>
  <c r="C353" i="40"/>
  <c r="C352" i="40"/>
  <c r="F352" i="40" s="1"/>
  <c r="C351" i="40"/>
  <c r="F351" i="40" s="1"/>
  <c r="H333" i="40"/>
  <c r="G333" i="40"/>
  <c r="H323" i="40"/>
  <c r="H329" i="40"/>
  <c r="G329" i="40"/>
  <c r="H328" i="40"/>
  <c r="G328" i="40"/>
  <c r="H327" i="40"/>
  <c r="G327" i="40"/>
  <c r="H326" i="40"/>
  <c r="G326" i="40"/>
  <c r="H325" i="40"/>
  <c r="G325" i="40"/>
  <c r="H324" i="40"/>
  <c r="G324" i="40"/>
  <c r="G323" i="40"/>
  <c r="B960" i="40" l="1"/>
  <c r="B959" i="40"/>
  <c r="B958" i="40"/>
  <c r="B957" i="40"/>
  <c r="B956" i="40"/>
  <c r="B955" i="40"/>
  <c r="B133" i="40"/>
  <c r="B132" i="40"/>
  <c r="B137" i="40"/>
  <c r="B136" i="40"/>
  <c r="B135" i="40"/>
  <c r="B215" i="40" s="1"/>
  <c r="B130" i="4"/>
  <c r="B989" i="4" s="1"/>
  <c r="G439" i="4"/>
  <c r="G453" i="40" s="1"/>
  <c r="H474" i="4"/>
  <c r="G790" i="4"/>
  <c r="G789" i="4"/>
  <c r="G787" i="4"/>
  <c r="J33" i="40"/>
  <c r="J12" i="40"/>
  <c r="J18" i="40"/>
  <c r="H915" i="40" l="1"/>
  <c r="G874" i="40"/>
  <c r="H870" i="40"/>
  <c r="G870" i="40"/>
  <c r="H867" i="40"/>
  <c r="G867" i="40"/>
  <c r="H862" i="40"/>
  <c r="H861" i="40"/>
  <c r="H858" i="40"/>
  <c r="H854" i="40"/>
  <c r="H853" i="40"/>
  <c r="H852" i="40"/>
  <c r="G858" i="40"/>
  <c r="G854" i="40"/>
  <c r="G853" i="40"/>
  <c r="G852" i="40"/>
  <c r="H625" i="40"/>
  <c r="G625" i="40"/>
  <c r="H621" i="40"/>
  <c r="G621" i="40"/>
  <c r="H611" i="40"/>
  <c r="G611" i="40"/>
  <c r="H605" i="40"/>
  <c r="H602" i="40"/>
  <c r="H601" i="40"/>
  <c r="G597" i="40"/>
  <c r="H597" i="40"/>
  <c r="H615" i="40" s="1"/>
  <c r="H596" i="40"/>
  <c r="H595" i="40"/>
  <c r="G595" i="40"/>
  <c r="E448" i="40"/>
  <c r="E447" i="40"/>
  <c r="F440" i="40"/>
  <c r="E440" i="40"/>
  <c r="H91" i="40"/>
  <c r="H99" i="40"/>
  <c r="H102" i="40"/>
  <c r="H188" i="40"/>
  <c r="H191" i="40" s="1"/>
  <c r="H250" i="40"/>
  <c r="H794" i="40"/>
  <c r="H793" i="40"/>
  <c r="H792" i="40"/>
  <c r="H791" i="40"/>
  <c r="G794" i="40"/>
  <c r="G793" i="40"/>
  <c r="G792" i="40"/>
  <c r="G791" i="40"/>
  <c r="H786" i="40"/>
  <c r="G786" i="40"/>
  <c r="H797" i="40"/>
  <c r="G797" i="40"/>
  <c r="H805" i="40"/>
  <c r="G805" i="40"/>
  <c r="G808" i="40"/>
  <c r="G811" i="40"/>
  <c r="G812" i="40"/>
  <c r="G815" i="40"/>
  <c r="H819" i="40"/>
  <c r="H818" i="40"/>
  <c r="G819" i="40"/>
  <c r="H835" i="40"/>
  <c r="H840" i="40"/>
  <c r="H256" i="40" s="1"/>
  <c r="C270" i="40"/>
  <c r="H295" i="40"/>
  <c r="G295" i="40"/>
  <c r="H304" i="40"/>
  <c r="H305" i="40" s="1"/>
  <c r="H22" i="40" s="1"/>
  <c r="H315" i="40"/>
  <c r="G315" i="40"/>
  <c r="H314" i="40"/>
  <c r="G314" i="40"/>
  <c r="H317" i="40"/>
  <c r="H319" i="40" s="1"/>
  <c r="G317" i="40"/>
  <c r="G319" i="40" s="1"/>
  <c r="H335" i="40"/>
  <c r="H582" i="40" s="1"/>
  <c r="G335" i="40"/>
  <c r="G582" i="40" s="1"/>
  <c r="H406" i="40"/>
  <c r="H407" i="40" s="1"/>
  <c r="H412" i="40"/>
  <c r="H413" i="40" s="1"/>
  <c r="G432" i="40"/>
  <c r="H423" i="40"/>
  <c r="H422" i="40"/>
  <c r="G422" i="40"/>
  <c r="G716" i="40"/>
  <c r="G715" i="40"/>
  <c r="G714" i="40"/>
  <c r="G713" i="40"/>
  <c r="H716" i="40"/>
  <c r="H715" i="40"/>
  <c r="H714" i="40"/>
  <c r="H713" i="40"/>
  <c r="H712" i="40"/>
  <c r="G709" i="40"/>
  <c r="G708" i="40"/>
  <c r="G707" i="40"/>
  <c r="G706" i="40"/>
  <c r="G725" i="40" s="1"/>
  <c r="H703" i="40"/>
  <c r="H709" i="40"/>
  <c r="H708" i="40"/>
  <c r="H707" i="40"/>
  <c r="H706" i="40"/>
  <c r="H725" i="40" s="1"/>
  <c r="H704" i="40"/>
  <c r="H723" i="40" s="1"/>
  <c r="G704" i="40"/>
  <c r="G723" i="40" s="1"/>
  <c r="H563" i="40"/>
  <c r="H562" i="40"/>
  <c r="H561" i="40"/>
  <c r="H560" i="40"/>
  <c r="H557" i="40"/>
  <c r="H556" i="40"/>
  <c r="H555" i="40"/>
  <c r="H554" i="40"/>
  <c r="H553" i="40"/>
  <c r="H551" i="40"/>
  <c r="H550" i="40"/>
  <c r="H549" i="40"/>
  <c r="H544" i="40"/>
  <c r="H543" i="40"/>
  <c r="H542" i="40"/>
  <c r="H541" i="40"/>
  <c r="H540" i="40"/>
  <c r="H539" i="40"/>
  <c r="H538" i="40"/>
  <c r="H537" i="40"/>
  <c r="H536" i="40"/>
  <c r="H526" i="40"/>
  <c r="H525" i="40"/>
  <c r="H629" i="40" s="1"/>
  <c r="H524" i="40"/>
  <c r="H523" i="40"/>
  <c r="H522" i="40"/>
  <c r="H520" i="40"/>
  <c r="H519" i="40"/>
  <c r="H518" i="40"/>
  <c r="H517" i="40"/>
  <c r="H516" i="40"/>
  <c r="M520" i="40"/>
  <c r="M519" i="40"/>
  <c r="M518" i="40"/>
  <c r="K520" i="40"/>
  <c r="K519" i="40"/>
  <c r="K518" i="40"/>
  <c r="H510" i="40"/>
  <c r="H509" i="40"/>
  <c r="H506" i="40"/>
  <c r="H505" i="40"/>
  <c r="H504" i="40"/>
  <c r="H501" i="40"/>
  <c r="G500" i="40" s="1"/>
  <c r="H500" i="40"/>
  <c r="H479" i="40"/>
  <c r="G479" i="40"/>
  <c r="H483" i="40"/>
  <c r="H486" i="40"/>
  <c r="H491" i="40"/>
  <c r="H490" i="40"/>
  <c r="H495" i="40"/>
  <c r="H494" i="40"/>
  <c r="H497" i="40"/>
  <c r="H249" i="40"/>
  <c r="E972" i="40"/>
  <c r="E971" i="40"/>
  <c r="E967" i="40"/>
  <c r="E966" i="40"/>
  <c r="E962" i="40"/>
  <c r="E961" i="40"/>
  <c r="E957" i="40"/>
  <c r="E956" i="40"/>
  <c r="E952" i="40"/>
  <c r="E951" i="40"/>
  <c r="H916" i="40"/>
  <c r="N905" i="40"/>
  <c r="K494" i="40" s="1"/>
  <c r="M494" i="40" s="1"/>
  <c r="O494" i="40" s="1"/>
  <c r="N904" i="40"/>
  <c r="K493" i="40" s="1"/>
  <c r="M493" i="40" s="1"/>
  <c r="O493" i="40" s="1"/>
  <c r="O903" i="40"/>
  <c r="O904" i="40" s="1"/>
  <c r="N903" i="40"/>
  <c r="P902" i="40"/>
  <c r="H733" i="40"/>
  <c r="G733" i="40"/>
  <c r="H724" i="40"/>
  <c r="G724" i="40"/>
  <c r="H701" i="40"/>
  <c r="G701" i="40"/>
  <c r="H643" i="40"/>
  <c r="H645" i="40" s="1"/>
  <c r="H641" i="40"/>
  <c r="H649" i="40" s="1"/>
  <c r="H678" i="40" s="1"/>
  <c r="H693" i="40" s="1"/>
  <c r="G641" i="40"/>
  <c r="G649" i="40" s="1"/>
  <c r="G678" i="40" s="1"/>
  <c r="G693" i="40" s="1"/>
  <c r="G615" i="40"/>
  <c r="H590" i="40"/>
  <c r="H513" i="40" s="1"/>
  <c r="G590" i="40"/>
  <c r="G513" i="40" s="1"/>
  <c r="H533" i="40"/>
  <c r="G533" i="40"/>
  <c r="K491" i="40"/>
  <c r="M491" i="40" s="1"/>
  <c r="O491" i="40" s="1"/>
  <c r="H453" i="40"/>
  <c r="H397" i="40"/>
  <c r="H464" i="40" s="1"/>
  <c r="G397" i="40"/>
  <c r="G464" i="40" s="1"/>
  <c r="J350" i="40"/>
  <c r="H309" i="40"/>
  <c r="H374" i="40" s="1"/>
  <c r="G309" i="40"/>
  <c r="G374" i="40" s="1"/>
  <c r="H231" i="40"/>
  <c r="H283" i="40" s="1"/>
  <c r="G231" i="40"/>
  <c r="G283" i="40" s="1"/>
  <c r="H151" i="40"/>
  <c r="G151" i="40"/>
  <c r="F146" i="40"/>
  <c r="F226" i="40" s="1"/>
  <c r="F145" i="40"/>
  <c r="F225" i="40" s="1"/>
  <c r="F144" i="40"/>
  <c r="F224" i="40" s="1"/>
  <c r="F140" i="40"/>
  <c r="F221" i="40" s="1"/>
  <c r="F139" i="40"/>
  <c r="F220" i="40" s="1"/>
  <c r="B217" i="40"/>
  <c r="B216" i="40"/>
  <c r="F135" i="40"/>
  <c r="F217" i="40" s="1"/>
  <c r="F134" i="40"/>
  <c r="F216" i="40" s="1"/>
  <c r="B134" i="40"/>
  <c r="B214" i="40" s="1"/>
  <c r="B213" i="40"/>
  <c r="F130" i="40"/>
  <c r="F213" i="40" s="1"/>
  <c r="F129" i="40"/>
  <c r="F212" i="40" s="1"/>
  <c r="B127" i="40"/>
  <c r="B208" i="40" s="1"/>
  <c r="F126" i="40"/>
  <c r="F209" i="40" s="1"/>
  <c r="B126" i="40"/>
  <c r="B207" i="40" s="1"/>
  <c r="F125" i="40"/>
  <c r="F208" i="40" s="1"/>
  <c r="B125" i="40"/>
  <c r="B206" i="40" s="1"/>
  <c r="B121" i="40"/>
  <c r="B205" i="40" s="1"/>
  <c r="H81" i="40"/>
  <c r="G81" i="40"/>
  <c r="H80" i="40"/>
  <c r="G80" i="40"/>
  <c r="H470" i="40"/>
  <c r="L902" i="40"/>
  <c r="G563" i="40"/>
  <c r="G554" i="40"/>
  <c r="G836" i="40"/>
  <c r="G541" i="40"/>
  <c r="G474" i="40"/>
  <c r="G562" i="40"/>
  <c r="H166" i="40"/>
  <c r="L903" i="40"/>
  <c r="G557" i="40"/>
  <c r="H547" i="40"/>
  <c r="G546" i="40"/>
  <c r="H236" i="40"/>
  <c r="H289" i="40"/>
  <c r="G561" i="40"/>
  <c r="G483" i="40"/>
  <c r="G526" i="40"/>
  <c r="H836" i="40"/>
  <c r="G242" i="40"/>
  <c r="H180" i="40"/>
  <c r="G426" i="40"/>
  <c r="G835" i="40"/>
  <c r="G390" i="40"/>
  <c r="G400" i="40"/>
  <c r="H159" i="40"/>
  <c r="H391" i="40"/>
  <c r="G840" i="40"/>
  <c r="G522" i="40"/>
  <c r="G473" i="40"/>
  <c r="G469" i="40"/>
  <c r="H390" i="40"/>
  <c r="G506" i="40"/>
  <c r="G553" i="40"/>
  <c r="G510" i="40"/>
  <c r="L518" i="40"/>
  <c r="H10" i="40"/>
  <c r="L520" i="40"/>
  <c r="G509" i="40"/>
  <c r="G540" i="40"/>
  <c r="G536" i="40"/>
  <c r="H426" i="40"/>
  <c r="G298" i="40"/>
  <c r="H837" i="40"/>
  <c r="L519" i="40"/>
  <c r="G545" i="40"/>
  <c r="G301" i="40"/>
  <c r="G841" i="40"/>
  <c r="G837" i="40"/>
  <c r="H433" i="40"/>
  <c r="G470" i="40"/>
  <c r="G516" i="40"/>
  <c r="G547" i="40"/>
  <c r="H474" i="40"/>
  <c r="H380" i="40"/>
  <c r="L904" i="40"/>
  <c r="H473" i="40"/>
  <c r="G542" i="40"/>
  <c r="H9" i="40"/>
  <c r="G490" i="40"/>
  <c r="G539" i="40"/>
  <c r="H257" i="40"/>
  <c r="H294" i="40"/>
  <c r="G543" i="40"/>
  <c r="G556" i="40"/>
  <c r="G538" i="40"/>
  <c r="G236" i="40"/>
  <c r="G286" i="40"/>
  <c r="H286" i="40"/>
  <c r="H299" i="40"/>
  <c r="G391" i="40"/>
  <c r="G486" i="40"/>
  <c r="G299" i="40"/>
  <c r="G294" i="40"/>
  <c r="H153" i="40"/>
  <c r="H300" i="40"/>
  <c r="G304" i="40"/>
  <c r="G560" i="40"/>
  <c r="H243" i="40"/>
  <c r="G243" i="40"/>
  <c r="G505" i="40"/>
  <c r="G495" i="40"/>
  <c r="G550" i="40"/>
  <c r="G289" i="40"/>
  <c r="G517" i="40"/>
  <c r="H545" i="40"/>
  <c r="H173" i="40"/>
  <c r="G491" i="40"/>
  <c r="G555" i="40"/>
  <c r="G551" i="40"/>
  <c r="G537" i="40"/>
  <c r="G524" i="40"/>
  <c r="G478" i="40"/>
  <c r="G549" i="40"/>
  <c r="G520" i="40"/>
  <c r="L511" i="40"/>
  <c r="H301" i="40"/>
  <c r="G544" i="40"/>
  <c r="G300" i="40"/>
  <c r="H478" i="40"/>
  <c r="H298" i="40"/>
  <c r="H242" i="40"/>
  <c r="G504" i="40"/>
  <c r="G523" i="40"/>
  <c r="H546" i="40"/>
  <c r="L905" i="40"/>
  <c r="H385" i="40"/>
  <c r="H244" i="40"/>
  <c r="G380" i="40"/>
  <c r="G244" i="40"/>
  <c r="G433" i="40"/>
  <c r="H400" i="40"/>
  <c r="H622" i="40" l="1"/>
  <c r="H492" i="40"/>
  <c r="H83" i="40" s="1"/>
  <c r="H496" i="40"/>
  <c r="H498" i="40" s="1"/>
  <c r="H86" i="40" s="1"/>
  <c r="H502" i="40"/>
  <c r="H88" i="40" s="1"/>
  <c r="G727" i="40"/>
  <c r="G569" i="40" s="1"/>
  <c r="G573" i="40" s="1"/>
  <c r="G578" i="40" s="1"/>
  <c r="G107" i="40" s="1"/>
  <c r="G111" i="40" s="1"/>
  <c r="G193" i="40" s="1"/>
  <c r="H734" i="40"/>
  <c r="G734" i="40"/>
  <c r="H507" i="40"/>
  <c r="H89" i="40" s="1"/>
  <c r="H527" i="40"/>
  <c r="H564" i="40"/>
  <c r="H103" i="40"/>
  <c r="G622" i="40"/>
  <c r="H681" i="40"/>
  <c r="H511" i="40"/>
  <c r="H90" i="40" s="1"/>
  <c r="G612" i="40"/>
  <c r="G361" i="40"/>
  <c r="H361" i="40" s="1"/>
  <c r="G354" i="40"/>
  <c r="H354" i="40" s="1"/>
  <c r="G365" i="40"/>
  <c r="H365" i="40" s="1"/>
  <c r="G488" i="40"/>
  <c r="G635" i="40" s="1"/>
  <c r="G357" i="40"/>
  <c r="H357" i="40" s="1"/>
  <c r="G726" i="40"/>
  <c r="G353" i="40"/>
  <c r="H353" i="40" s="1"/>
  <c r="H488" i="40"/>
  <c r="H635" i="40" s="1"/>
  <c r="G351" i="40"/>
  <c r="H351" i="40" s="1"/>
  <c r="G355" i="40"/>
  <c r="H355" i="40" s="1"/>
  <c r="G362" i="40"/>
  <c r="H362" i="40" s="1"/>
  <c r="G366" i="40"/>
  <c r="H366" i="40" s="1"/>
  <c r="H726" i="40"/>
  <c r="G352" i="40"/>
  <c r="H352" i="40" s="1"/>
  <c r="G356" i="40"/>
  <c r="H356" i="40" s="1"/>
  <c r="G363" i="40"/>
  <c r="H363" i="40" s="1"/>
  <c r="G367" i="40"/>
  <c r="H367" i="40" s="1"/>
  <c r="H612" i="40"/>
  <c r="H717" i="40"/>
  <c r="H696" i="40" s="1"/>
  <c r="G364" i="40"/>
  <c r="H364" i="40" s="1"/>
  <c r="H616" i="40"/>
  <c r="H630" i="40"/>
  <c r="P904" i="40"/>
  <c r="O905" i="40"/>
  <c r="P905" i="40" s="1"/>
  <c r="H414" i="40"/>
  <c r="H416" i="40" s="1"/>
  <c r="H36" i="40" s="1"/>
  <c r="G471" i="40"/>
  <c r="G42" i="40" s="1"/>
  <c r="G658" i="40" s="1"/>
  <c r="N511" i="40"/>
  <c r="G245" i="40"/>
  <c r="H290" i="40"/>
  <c r="H19" i="40" s="1"/>
  <c r="H401" i="40"/>
  <c r="H35" i="40" s="1"/>
  <c r="H168" i="40"/>
  <c r="H170" i="40" s="1"/>
  <c r="G166" i="40" s="1"/>
  <c r="G168" i="40" s="1"/>
  <c r="G170" i="40" s="1"/>
  <c r="G302" i="40"/>
  <c r="G21" i="40" s="1"/>
  <c r="J21" i="40" s="1"/>
  <c r="G511" i="40"/>
  <c r="G90" i="40" s="1"/>
  <c r="I90" i="40" s="1"/>
  <c r="G238" i="40"/>
  <c r="G12" i="40" s="1"/>
  <c r="H480" i="40"/>
  <c r="H44" i="40" s="1"/>
  <c r="H558" i="40"/>
  <c r="H679" i="40"/>
  <c r="H392" i="40"/>
  <c r="H34" i="40" s="1"/>
  <c r="G680" i="40"/>
  <c r="G480" i="40"/>
  <c r="G44" i="40" s="1"/>
  <c r="H183" i="40"/>
  <c r="H185" i="40" s="1"/>
  <c r="G180" i="40" s="1"/>
  <c r="G183" i="40" s="1"/>
  <c r="G185" i="40" s="1"/>
  <c r="G296" i="40"/>
  <c r="G20" i="40" s="1"/>
  <c r="G653" i="40" s="1"/>
  <c r="E441" i="40"/>
  <c r="G434" i="40"/>
  <c r="G41" i="40" s="1"/>
  <c r="G657" i="40" s="1"/>
  <c r="H155" i="40"/>
  <c r="H161" i="40"/>
  <c r="H163" i="40" s="1"/>
  <c r="G159" i="40" s="1"/>
  <c r="G161" i="40" s="1"/>
  <c r="G163" i="40" s="1"/>
  <c r="H175" i="40"/>
  <c r="H177" i="40" s="1"/>
  <c r="G173" i="40" s="1"/>
  <c r="G175" i="40" s="1"/>
  <c r="G177" i="40" s="1"/>
  <c r="H238" i="40"/>
  <c r="H12" i="40" s="1"/>
  <c r="H245" i="40"/>
  <c r="H13" i="40" s="1"/>
  <c r="H296" i="40"/>
  <c r="H20" i="40" s="1"/>
  <c r="H653" i="40" s="1"/>
  <c r="H302" i="40"/>
  <c r="H21" i="40" s="1"/>
  <c r="H429" i="40"/>
  <c r="H40" i="40" s="1"/>
  <c r="H680" i="40"/>
  <c r="G475" i="40"/>
  <c r="G43" i="40" s="1"/>
  <c r="J43" i="40" s="1"/>
  <c r="G492" i="40"/>
  <c r="G83" i="40" s="1"/>
  <c r="N520" i="40"/>
  <c r="G525" i="40" s="1"/>
  <c r="G629" i="40" s="1"/>
  <c r="G643" i="40"/>
  <c r="G645" i="40" s="1"/>
  <c r="G558" i="40"/>
  <c r="G256" i="40"/>
  <c r="L906" i="40"/>
  <c r="G290" i="40"/>
  <c r="G19" i="40" s="1"/>
  <c r="G652" i="40" s="1"/>
  <c r="G305" i="40"/>
  <c r="G22" i="40" s="1"/>
  <c r="G401" i="40"/>
  <c r="G35" i="40" s="1"/>
  <c r="H434" i="40"/>
  <c r="H41" i="40" s="1"/>
  <c r="H657" i="40" s="1"/>
  <c r="H471" i="40"/>
  <c r="H42" i="40" s="1"/>
  <c r="H658" i="40" s="1"/>
  <c r="H475" i="40"/>
  <c r="H43" i="40" s="1"/>
  <c r="G507" i="40"/>
  <c r="G89" i="40" s="1"/>
  <c r="N518" i="40"/>
  <c r="G518" i="40" s="1"/>
  <c r="N519" i="40"/>
  <c r="G519" i="40" s="1"/>
  <c r="G564" i="40"/>
  <c r="G494" i="40"/>
  <c r="G496" i="40" s="1"/>
  <c r="H248" i="40"/>
  <c r="H252" i="40" s="1"/>
  <c r="H16" i="40" s="1"/>
  <c r="H710" i="40"/>
  <c r="H727" i="40"/>
  <c r="H569" i="40" s="1"/>
  <c r="H573" i="40" s="1"/>
  <c r="H578" i="40" s="1"/>
  <c r="H107" i="40" s="1"/>
  <c r="H111" i="40" s="1"/>
  <c r="H193" i="40" s="1"/>
  <c r="N906" i="40"/>
  <c r="E904" i="40" s="1"/>
  <c r="P903" i="40"/>
  <c r="H258" i="40"/>
  <c r="H18" i="40" s="1"/>
  <c r="H651" i="40" s="1"/>
  <c r="K492" i="40"/>
  <c r="M492" i="40" s="1"/>
  <c r="O492" i="40" s="1"/>
  <c r="O495" i="40" s="1"/>
  <c r="O56" i="39"/>
  <c r="M41" i="39"/>
  <c r="E21" i="39" s="1"/>
  <c r="P24" i="39"/>
  <c r="O24" i="39"/>
  <c r="P9" i="39"/>
  <c r="I9" i="37"/>
  <c r="G257" i="40"/>
  <c r="G728" i="40" l="1"/>
  <c r="H565" i="40"/>
  <c r="H92" i="40" s="1"/>
  <c r="H93" i="40" s="1"/>
  <c r="H82" i="40"/>
  <c r="H84" i="40" s="1"/>
  <c r="G712" i="40"/>
  <c r="G717" i="40" s="1"/>
  <c r="H719" i="40"/>
  <c r="P906" i="40"/>
  <c r="F904" i="40" s="1"/>
  <c r="H14" i="40"/>
  <c r="G13" i="40"/>
  <c r="J13" i="40" s="1"/>
  <c r="H37" i="40"/>
  <c r="H682" i="40"/>
  <c r="G527" i="40"/>
  <c r="G565" i="40" s="1"/>
  <c r="G92" i="40" s="1"/>
  <c r="H29" i="40"/>
  <c r="G153" i="40"/>
  <c r="G155" i="40" s="1"/>
  <c r="G29" i="40" s="1"/>
  <c r="H652" i="40"/>
  <c r="H654" i="40" s="1"/>
  <c r="I19" i="40"/>
  <c r="H720" i="40"/>
  <c r="G703" i="40"/>
  <c r="G710" i="40" s="1"/>
  <c r="G720" i="40" s="1"/>
  <c r="H23" i="40"/>
  <c r="G630" i="40"/>
  <c r="G616" i="40"/>
  <c r="H656" i="40"/>
  <c r="H659" i="40" s="1"/>
  <c r="H45" i="40"/>
  <c r="H728" i="40"/>
  <c r="G82" i="40"/>
  <c r="G84" i="40" s="1"/>
  <c r="H945" i="4"/>
  <c r="D55" i="38"/>
  <c r="D58" i="38" s="1"/>
  <c r="P47" i="38"/>
  <c r="Q47" i="38" s="1"/>
  <c r="P46" i="38"/>
  <c r="Q46" i="38" s="1"/>
  <c r="P45" i="38"/>
  <c r="Q45" i="38" s="1"/>
  <c r="P44" i="38"/>
  <c r="Q44" i="38" s="1"/>
  <c r="P43" i="38"/>
  <c r="Q43" i="38" s="1"/>
  <c r="P42" i="38"/>
  <c r="Q42" i="38" s="1"/>
  <c r="P41" i="38"/>
  <c r="Q41" i="38" s="1"/>
  <c r="P40" i="38"/>
  <c r="Q40" i="38" s="1"/>
  <c r="P39" i="38"/>
  <c r="Q39" i="38" s="1"/>
  <c r="P38" i="38"/>
  <c r="Q38" i="38" s="1"/>
  <c r="P30" i="38"/>
  <c r="Q30" i="38" s="1"/>
  <c r="P29" i="38"/>
  <c r="Q29" i="38" s="1"/>
  <c r="P28" i="38"/>
  <c r="Q28" i="38" s="1"/>
  <c r="P27" i="38"/>
  <c r="Q27" i="38" s="1"/>
  <c r="P25" i="38"/>
  <c r="Q25" i="38" s="1"/>
  <c r="P24" i="38"/>
  <c r="Q24" i="38" s="1"/>
  <c r="P23" i="38"/>
  <c r="Q23" i="38" s="1"/>
  <c r="P21" i="38"/>
  <c r="Q21" i="38" s="1"/>
  <c r="P19" i="38"/>
  <c r="Q19" i="38" s="1"/>
  <c r="P18" i="38"/>
  <c r="Q18" i="38" s="1"/>
  <c r="P17" i="38"/>
  <c r="Q17" i="38" s="1"/>
  <c r="P16" i="38"/>
  <c r="Q16" i="38" s="1"/>
  <c r="P15" i="38"/>
  <c r="Q15" i="38" s="1"/>
  <c r="Q14" i="38"/>
  <c r="P14" i="38"/>
  <c r="P13" i="38"/>
  <c r="Q13" i="38" s="1"/>
  <c r="P12" i="38"/>
  <c r="Q12" i="38" s="1"/>
  <c r="P11" i="38"/>
  <c r="Q11" i="38" s="1"/>
  <c r="P10" i="38"/>
  <c r="Q10" i="38" s="1"/>
  <c r="P9" i="38"/>
  <c r="Q9" i="38" s="1"/>
  <c r="P8" i="38"/>
  <c r="Q8" i="38" s="1"/>
  <c r="P7" i="38"/>
  <c r="G944" i="4" l="1"/>
  <c r="G915" i="40"/>
  <c r="H721" i="40"/>
  <c r="H94" i="40"/>
  <c r="H97" i="40" s="1"/>
  <c r="H104" i="40" s="1"/>
  <c r="H192" i="40" s="1"/>
  <c r="H194" i="40" s="1"/>
  <c r="H200" i="40" s="1"/>
  <c r="G719" i="40"/>
  <c r="G721" i="40" s="1"/>
  <c r="G696" i="40"/>
  <c r="H26" i="40"/>
  <c r="I26" i="40" s="1"/>
  <c r="G258" i="40"/>
  <c r="R25" i="38"/>
  <c r="R30" i="38"/>
  <c r="P32" i="38"/>
  <c r="Q48" i="38"/>
  <c r="Q7" i="38"/>
  <c r="G942" i="4" l="1"/>
  <c r="G913" i="40"/>
  <c r="G943" i="4"/>
  <c r="G914" i="40"/>
  <c r="H581" i="40"/>
  <c r="H583" i="40" s="1"/>
  <c r="H116" i="40" s="1"/>
  <c r="H114" i="40"/>
  <c r="H201" i="40"/>
  <c r="H30" i="40" s="1"/>
  <c r="H31" i="40" s="1"/>
  <c r="H46" i="40" s="1"/>
  <c r="H1" i="40" s="1"/>
  <c r="G188" i="40"/>
  <c r="G191" i="40" s="1"/>
  <c r="G18" i="40"/>
  <c r="Q32" i="38"/>
  <c r="R19" i="38"/>
  <c r="G17" i="28"/>
  <c r="G820" i="40" s="1"/>
  <c r="G941" i="4" l="1"/>
  <c r="G945" i="4" s="1"/>
  <c r="G912" i="40"/>
  <c r="G916" i="40" s="1"/>
  <c r="H584" i="40"/>
  <c r="H117" i="40" s="1"/>
  <c r="G651" i="40"/>
  <c r="G654" i="40" s="1"/>
  <c r="F41" i="37"/>
  <c r="K40" i="37" s="1"/>
  <c r="H56" i="37"/>
  <c r="I24" i="37"/>
  <c r="H24" i="37"/>
  <c r="D965" i="4" l="1"/>
  <c r="D936" i="40"/>
  <c r="F51" i="5"/>
  <c r="F51" i="36"/>
  <c r="B86" i="36"/>
  <c r="J115" i="36"/>
  <c r="I115" i="36"/>
  <c r="H115" i="36"/>
  <c r="G115" i="36"/>
  <c r="F115" i="36"/>
  <c r="D115" i="36"/>
  <c r="C115" i="36"/>
  <c r="B115" i="36"/>
  <c r="K114" i="36"/>
  <c r="E114" i="36"/>
  <c r="K113" i="36"/>
  <c r="E113" i="36"/>
  <c r="K112" i="36"/>
  <c r="E112" i="36"/>
  <c r="K111" i="36"/>
  <c r="E111" i="36"/>
  <c r="K110" i="36"/>
  <c r="E110" i="36"/>
  <c r="E109" i="36"/>
  <c r="E108" i="36"/>
  <c r="E107" i="36"/>
  <c r="I99" i="36"/>
  <c r="H99" i="36"/>
  <c r="G99" i="36"/>
  <c r="F99" i="36"/>
  <c r="D98" i="36"/>
  <c r="B98" i="36"/>
  <c r="J98" i="36" s="1"/>
  <c r="D97" i="36"/>
  <c r="C97" i="36"/>
  <c r="C99" i="36" s="1"/>
  <c r="J7" i="36" s="1"/>
  <c r="B97" i="36"/>
  <c r="J97" i="36" s="1"/>
  <c r="H93" i="36"/>
  <c r="I20" i="36" s="1"/>
  <c r="G93" i="36"/>
  <c r="I16" i="36" s="1"/>
  <c r="F93" i="36"/>
  <c r="I15" i="36" s="1"/>
  <c r="D93" i="36"/>
  <c r="I8" i="36" s="1"/>
  <c r="C93" i="36"/>
  <c r="I7" i="36" s="1"/>
  <c r="B93" i="36"/>
  <c r="I6" i="36" s="1"/>
  <c r="H92" i="36"/>
  <c r="H20" i="36" s="1"/>
  <c r="G92" i="36"/>
  <c r="H16" i="36" s="1"/>
  <c r="F92" i="36"/>
  <c r="D92" i="36"/>
  <c r="H8" i="36" s="1"/>
  <c r="C92" i="36"/>
  <c r="H7" i="36" s="1"/>
  <c r="B92" i="36"/>
  <c r="H91" i="36"/>
  <c r="G17" i="36" s="1"/>
  <c r="G91" i="36"/>
  <c r="G16" i="36" s="1"/>
  <c r="F91" i="36"/>
  <c r="D91" i="36"/>
  <c r="G8" i="36" s="1"/>
  <c r="C91" i="36"/>
  <c r="G7" i="36" s="1"/>
  <c r="B91" i="36"/>
  <c r="G6" i="36" s="1"/>
  <c r="H90" i="36"/>
  <c r="F20" i="36" s="1"/>
  <c r="G90" i="36"/>
  <c r="F16" i="36" s="1"/>
  <c r="F90" i="36"/>
  <c r="D90" i="36"/>
  <c r="F8" i="36" s="1"/>
  <c r="C90" i="36"/>
  <c r="F7" i="36" s="1"/>
  <c r="B90" i="36"/>
  <c r="H89" i="36"/>
  <c r="E20" i="36" s="1"/>
  <c r="G89" i="36"/>
  <c r="E16" i="36" s="1"/>
  <c r="F89" i="36"/>
  <c r="E15" i="36" s="1"/>
  <c r="D89" i="36"/>
  <c r="E8" i="36" s="1"/>
  <c r="C89" i="36"/>
  <c r="E7" i="36" s="1"/>
  <c r="B89" i="36"/>
  <c r="E6" i="36" s="1"/>
  <c r="H88" i="36"/>
  <c r="D17" i="36" s="1"/>
  <c r="G88" i="36"/>
  <c r="D16" i="36" s="1"/>
  <c r="F88" i="36"/>
  <c r="D88" i="36"/>
  <c r="D8" i="36" s="1"/>
  <c r="C88" i="36"/>
  <c r="D7" i="36" s="1"/>
  <c r="B88" i="36"/>
  <c r="H87" i="36"/>
  <c r="C20" i="36" s="1"/>
  <c r="G87" i="36"/>
  <c r="C16" i="36" s="1"/>
  <c r="F87" i="36"/>
  <c r="D87" i="36"/>
  <c r="C8" i="36" s="1"/>
  <c r="C87" i="36"/>
  <c r="C7" i="36" s="1"/>
  <c r="B87" i="36"/>
  <c r="C6" i="36" s="1"/>
  <c r="G86" i="36"/>
  <c r="B16" i="36" s="1"/>
  <c r="F86" i="36"/>
  <c r="D86" i="36"/>
  <c r="C86" i="36"/>
  <c r="B7" i="36" s="1"/>
  <c r="I75" i="36"/>
  <c r="H75" i="36"/>
  <c r="H77" i="36" s="1"/>
  <c r="G75" i="36"/>
  <c r="F75" i="36"/>
  <c r="C73" i="36"/>
  <c r="M70" i="36"/>
  <c r="M69" i="36"/>
  <c r="G69" i="36"/>
  <c r="I19" i="36" s="1"/>
  <c r="C69" i="36"/>
  <c r="I10" i="36" s="1"/>
  <c r="G68" i="36"/>
  <c r="H19" i="36" s="1"/>
  <c r="C68" i="36"/>
  <c r="H10" i="36" s="1"/>
  <c r="G67" i="36"/>
  <c r="G19" i="36" s="1"/>
  <c r="C67" i="36"/>
  <c r="G10" i="36" s="1"/>
  <c r="G66" i="36"/>
  <c r="F19" i="36" s="1"/>
  <c r="C66" i="36"/>
  <c r="F10" i="36" s="1"/>
  <c r="G65" i="36"/>
  <c r="E19" i="36" s="1"/>
  <c r="C65" i="36"/>
  <c r="E10" i="36" s="1"/>
  <c r="G64" i="36"/>
  <c r="D19" i="36" s="1"/>
  <c r="C64" i="36"/>
  <c r="D10" i="36" s="1"/>
  <c r="G63" i="36"/>
  <c r="C19" i="36" s="1"/>
  <c r="C63" i="36"/>
  <c r="D73" i="36" s="1"/>
  <c r="D75" i="36" s="1"/>
  <c r="J11" i="36" s="1"/>
  <c r="M62" i="36"/>
  <c r="G62" i="36"/>
  <c r="F62" i="36"/>
  <c r="C62" i="36"/>
  <c r="E55" i="36"/>
  <c r="D55" i="36"/>
  <c r="C55" i="36"/>
  <c r="M54" i="36"/>
  <c r="L53" i="36"/>
  <c r="L52" i="36"/>
  <c r="L50" i="36"/>
  <c r="L48" i="36"/>
  <c r="L47" i="36"/>
  <c r="L46" i="36"/>
  <c r="L45" i="36"/>
  <c r="E42" i="36"/>
  <c r="D42" i="36"/>
  <c r="F40" i="36"/>
  <c r="P39" i="36"/>
  <c r="M38" i="36" s="1"/>
  <c r="P38" i="36" s="1"/>
  <c r="M37" i="36" s="1"/>
  <c r="P37" i="36" s="1"/>
  <c r="M36" i="36" s="1"/>
  <c r="P36" i="36" s="1"/>
  <c r="R37" i="36"/>
  <c r="R36" i="36"/>
  <c r="D20" i="36"/>
  <c r="B20" i="36"/>
  <c r="H17" i="36"/>
  <c r="B17" i="36"/>
  <c r="J16" i="36"/>
  <c r="J18" i="36" s="1"/>
  <c r="J21" i="36" s="1"/>
  <c r="I11" i="36"/>
  <c r="H11" i="36"/>
  <c r="G11" i="36"/>
  <c r="F11" i="36"/>
  <c r="E11" i="36"/>
  <c r="D11" i="36"/>
  <c r="C11" i="36"/>
  <c r="B11" i="36"/>
  <c r="B10" i="36"/>
  <c r="G297" i="4"/>
  <c r="H297" i="4"/>
  <c r="C54" i="35"/>
  <c r="C48" i="35"/>
  <c r="C47" i="35"/>
  <c r="C46" i="35"/>
  <c r="C35" i="35"/>
  <c r="C42" i="35" s="1"/>
  <c r="C31" i="35"/>
  <c r="C27" i="35"/>
  <c r="C26" i="35"/>
  <c r="C25" i="35"/>
  <c r="C24" i="35"/>
  <c r="C23" i="35"/>
  <c r="C22" i="35"/>
  <c r="C21" i="35"/>
  <c r="C19" i="35"/>
  <c r="C18" i="35"/>
  <c r="C17" i="35"/>
  <c r="C16" i="35"/>
  <c r="C10" i="35"/>
  <c r="C86" i="35"/>
  <c r="B74" i="35"/>
  <c r="E56" i="35"/>
  <c r="G47" i="35"/>
  <c r="F47" i="35"/>
  <c r="F46" i="35"/>
  <c r="H46" i="35" s="1"/>
  <c r="J46" i="35" s="1"/>
  <c r="P38" i="35"/>
  <c r="F38" i="35"/>
  <c r="P37" i="35"/>
  <c r="F37" i="35"/>
  <c r="P36" i="35"/>
  <c r="F36" i="35"/>
  <c r="R35" i="35"/>
  <c r="P35" i="35"/>
  <c r="P34" i="35"/>
  <c r="S34" i="35" s="1"/>
  <c r="R32" i="35"/>
  <c r="P32" i="35"/>
  <c r="R31" i="35"/>
  <c r="P31" i="35"/>
  <c r="L31" i="35"/>
  <c r="L32" i="35" s="1"/>
  <c r="BC27" i="35"/>
  <c r="AZ27" i="35"/>
  <c r="R27" i="35"/>
  <c r="R33" i="35" s="1"/>
  <c r="P27" i="35"/>
  <c r="P33" i="35" s="1"/>
  <c r="F27" i="35"/>
  <c r="H27" i="35" s="1"/>
  <c r="J27" i="35" s="1"/>
  <c r="AZ26" i="35"/>
  <c r="BB26" i="35" s="1"/>
  <c r="AY26" i="35"/>
  <c r="F26" i="35"/>
  <c r="H26" i="35" s="1"/>
  <c r="J26" i="35" s="1"/>
  <c r="BC25" i="35"/>
  <c r="AZ25" i="35"/>
  <c r="BB25" i="35" s="1"/>
  <c r="AY25" i="35"/>
  <c r="T25" i="35"/>
  <c r="F25" i="35"/>
  <c r="H25" i="35" s="1"/>
  <c r="J25" i="35" s="1"/>
  <c r="AZ24" i="35"/>
  <c r="BB24" i="35" s="1"/>
  <c r="AY24" i="35"/>
  <c r="T24" i="35"/>
  <c r="F24" i="35"/>
  <c r="H24" i="35" s="1"/>
  <c r="J24" i="35" s="1"/>
  <c r="AZ23" i="35"/>
  <c r="BB23" i="35" s="1"/>
  <c r="AY23" i="35"/>
  <c r="T23" i="35"/>
  <c r="G23" i="35"/>
  <c r="F23" i="35"/>
  <c r="AZ22" i="35"/>
  <c r="BB22" i="35" s="1"/>
  <c r="AY22" i="35"/>
  <c r="T22" i="35"/>
  <c r="F22" i="35"/>
  <c r="H22" i="35" s="1"/>
  <c r="J22" i="35" s="1"/>
  <c r="AZ21" i="35"/>
  <c r="BB21" i="35" s="1"/>
  <c r="AY21" i="35"/>
  <c r="T21" i="35"/>
  <c r="F21" i="35"/>
  <c r="H21" i="35" s="1"/>
  <c r="J21" i="35" s="1"/>
  <c r="AZ20" i="35"/>
  <c r="BB20" i="35" s="1"/>
  <c r="AY20" i="35"/>
  <c r="T20" i="35"/>
  <c r="F20" i="35"/>
  <c r="H20" i="35" s="1"/>
  <c r="J20" i="35" s="1"/>
  <c r="AZ19" i="35"/>
  <c r="BB19" i="35" s="1"/>
  <c r="AY19" i="35"/>
  <c r="T19" i="35"/>
  <c r="F19" i="35"/>
  <c r="H19" i="35" s="1"/>
  <c r="J19" i="35" s="1"/>
  <c r="AZ18" i="35"/>
  <c r="BB18" i="35" s="1"/>
  <c r="AY18" i="35"/>
  <c r="T18" i="35"/>
  <c r="F18" i="35"/>
  <c r="H18" i="35" s="1"/>
  <c r="J18" i="35" s="1"/>
  <c r="AZ17" i="35"/>
  <c r="BB17" i="35" s="1"/>
  <c r="AY17" i="35"/>
  <c r="T17" i="35"/>
  <c r="F17" i="35"/>
  <c r="H17" i="35" s="1"/>
  <c r="J17" i="35" s="1"/>
  <c r="AZ16" i="35"/>
  <c r="BB16" i="35" s="1"/>
  <c r="AY16" i="35"/>
  <c r="T16" i="35"/>
  <c r="F16" i="35"/>
  <c r="H16" i="35" s="1"/>
  <c r="J16" i="35" s="1"/>
  <c r="T15" i="35"/>
  <c r="T14" i="35"/>
  <c r="C38" i="5" l="1"/>
  <c r="C38" i="36" s="1"/>
  <c r="C42" i="36" s="1"/>
  <c r="F38" i="5"/>
  <c r="I62" i="36"/>
  <c r="H47" i="35"/>
  <c r="B19" i="36"/>
  <c r="E23" i="36"/>
  <c r="I23" i="36"/>
  <c r="H23" i="35"/>
  <c r="J23" i="35" s="1"/>
  <c r="H94" i="36"/>
  <c r="H101" i="36" s="1"/>
  <c r="I88" i="36"/>
  <c r="F64" i="36" s="1"/>
  <c r="I64" i="36" s="1"/>
  <c r="I90" i="36"/>
  <c r="F66" i="36" s="1"/>
  <c r="I66" i="36" s="1"/>
  <c r="I92" i="36"/>
  <c r="F68" i="36" s="1"/>
  <c r="I68" i="36" s="1"/>
  <c r="F17" i="36"/>
  <c r="S35" i="35"/>
  <c r="D94" i="36"/>
  <c r="S32" i="35"/>
  <c r="G20" i="36"/>
  <c r="E88" i="36"/>
  <c r="K88" i="36" s="1"/>
  <c r="E90" i="36"/>
  <c r="B66" i="36" s="1"/>
  <c r="E92" i="36"/>
  <c r="K92" i="36" s="1"/>
  <c r="B8" i="36"/>
  <c r="E86" i="36"/>
  <c r="B62" i="36" s="1"/>
  <c r="D15" i="36"/>
  <c r="D18" i="36" s="1"/>
  <c r="D21" i="36" s="1"/>
  <c r="H15" i="36"/>
  <c r="H18" i="36" s="1"/>
  <c r="H21" i="36" s="1"/>
  <c r="S31" i="35"/>
  <c r="E17" i="36"/>
  <c r="E18" i="36" s="1"/>
  <c r="E21" i="36" s="1"/>
  <c r="I17" i="36"/>
  <c r="I18" i="36" s="1"/>
  <c r="I21" i="36" s="1"/>
  <c r="C70" i="36"/>
  <c r="M71" i="36"/>
  <c r="M72" i="36" s="1"/>
  <c r="C74" i="36" s="1"/>
  <c r="C75" i="36" s="1"/>
  <c r="J10" i="36" s="1"/>
  <c r="F94" i="36"/>
  <c r="F101" i="36" s="1"/>
  <c r="J99" i="36"/>
  <c r="B6" i="36"/>
  <c r="F6" i="36"/>
  <c r="L54" i="36"/>
  <c r="B42" i="36" s="1"/>
  <c r="G94" i="36"/>
  <c r="G101" i="36" s="1"/>
  <c r="I87" i="36"/>
  <c r="F63" i="36" s="1"/>
  <c r="I63" i="36" s="1"/>
  <c r="I89" i="36"/>
  <c r="F65" i="36" s="1"/>
  <c r="I65" i="36" s="1"/>
  <c r="I91" i="36"/>
  <c r="F67" i="36" s="1"/>
  <c r="I67" i="36" s="1"/>
  <c r="I93" i="36"/>
  <c r="F69" i="36" s="1"/>
  <c r="I69" i="36" s="1"/>
  <c r="F15" i="36"/>
  <c r="F18" i="36" s="1"/>
  <c r="F21" i="36" s="1"/>
  <c r="S33" i="35"/>
  <c r="H35" i="35"/>
  <c r="B15" i="36"/>
  <c r="B18" i="36" s="1"/>
  <c r="C17" i="36"/>
  <c r="G70" i="36"/>
  <c r="G77" i="36" s="1"/>
  <c r="C94" i="36"/>
  <c r="C101" i="36" s="1"/>
  <c r="J87" i="36"/>
  <c r="J89" i="36"/>
  <c r="J91" i="36"/>
  <c r="J93" i="36"/>
  <c r="D99" i="36"/>
  <c r="J8" i="36" s="1"/>
  <c r="E115" i="36"/>
  <c r="K115" i="36"/>
  <c r="D6" i="36"/>
  <c r="D9" i="36" s="1"/>
  <c r="H6" i="36"/>
  <c r="H23" i="36" s="1"/>
  <c r="C10" i="36"/>
  <c r="C15" i="36"/>
  <c r="C23" i="36" s="1"/>
  <c r="G15" i="36"/>
  <c r="G18" i="36" s="1"/>
  <c r="B55" i="36"/>
  <c r="B23" i="36"/>
  <c r="D77" i="36"/>
  <c r="B64" i="36"/>
  <c r="K90" i="36"/>
  <c r="B68" i="36"/>
  <c r="C9" i="36"/>
  <c r="G9" i="36"/>
  <c r="F53" i="36"/>
  <c r="F55" i="36" s="1"/>
  <c r="J86" i="36"/>
  <c r="J88" i="36"/>
  <c r="J90" i="36"/>
  <c r="J92" i="36"/>
  <c r="B94" i="36"/>
  <c r="H9" i="36"/>
  <c r="E87" i="36"/>
  <c r="E89" i="36"/>
  <c r="E91" i="36"/>
  <c r="E93" i="36"/>
  <c r="E97" i="36"/>
  <c r="B99" i="36"/>
  <c r="J6" i="36" s="1"/>
  <c r="E9" i="36"/>
  <c r="I9" i="36"/>
  <c r="E98" i="36"/>
  <c r="C50" i="35"/>
  <c r="C29" i="35"/>
  <c r="P29" i="35"/>
  <c r="D30" i="34"/>
  <c r="D31" i="34" s="1"/>
  <c r="H30" i="34"/>
  <c r="D27" i="34"/>
  <c r="E27" i="34" s="1"/>
  <c r="H27" i="34"/>
  <c r="D24" i="34"/>
  <c r="E24" i="34" s="1"/>
  <c r="C25" i="34" s="1"/>
  <c r="H24" i="34"/>
  <c r="D21" i="34"/>
  <c r="E21" i="34" s="1"/>
  <c r="H21" i="34"/>
  <c r="D16" i="34"/>
  <c r="E16" i="34" s="1"/>
  <c r="C17" i="34" s="1"/>
  <c r="H16" i="34"/>
  <c r="D11" i="34"/>
  <c r="E11" i="34" s="1"/>
  <c r="C12" i="34" s="1"/>
  <c r="H11" i="34"/>
  <c r="D6" i="34"/>
  <c r="E6" i="34" s="1"/>
  <c r="C7" i="34" s="1"/>
  <c r="H6" i="34"/>
  <c r="E426" i="4"/>
  <c r="F426" i="4"/>
  <c r="G23" i="36" l="1"/>
  <c r="K86" i="36"/>
  <c r="B21" i="36"/>
  <c r="G21" i="36"/>
  <c r="I70" i="36"/>
  <c r="I77" i="36" s="1"/>
  <c r="D22" i="34"/>
  <c r="E30" i="34"/>
  <c r="F38" i="36"/>
  <c r="F42" i="36" s="1"/>
  <c r="C18" i="36"/>
  <c r="C21" i="36" s="1"/>
  <c r="I94" i="36"/>
  <c r="I101" i="36" s="1"/>
  <c r="F23" i="36"/>
  <c r="F9" i="36"/>
  <c r="F24" i="36" s="1"/>
  <c r="D23" i="36"/>
  <c r="E94" i="36"/>
  <c r="D101" i="36"/>
  <c r="B9" i="36"/>
  <c r="B12" i="36" s="1"/>
  <c r="B25" i="36" s="1"/>
  <c r="E24" i="36"/>
  <c r="E12" i="36"/>
  <c r="E25" i="36" s="1"/>
  <c r="K91" i="36"/>
  <c r="B67" i="36"/>
  <c r="D24" i="36"/>
  <c r="D12" i="36"/>
  <c r="D25" i="36" s="1"/>
  <c r="C12" i="36"/>
  <c r="J66" i="36"/>
  <c r="E66" i="36"/>
  <c r="K66" i="36" s="1"/>
  <c r="J23" i="36"/>
  <c r="J9" i="36"/>
  <c r="K89" i="36"/>
  <c r="B65" i="36"/>
  <c r="B101" i="36"/>
  <c r="J94" i="36"/>
  <c r="J101" i="36" s="1"/>
  <c r="B74" i="36"/>
  <c r="K98" i="36"/>
  <c r="K97" i="36"/>
  <c r="B73" i="36"/>
  <c r="E99" i="36"/>
  <c r="E101" i="36" s="1"/>
  <c r="K87" i="36"/>
  <c r="B63" i="36"/>
  <c r="J68" i="36"/>
  <c r="E68" i="36"/>
  <c r="K68" i="36" s="1"/>
  <c r="J64" i="36"/>
  <c r="E64" i="36"/>
  <c r="K64" i="36" s="1"/>
  <c r="F70" i="36"/>
  <c r="F77" i="36" s="1"/>
  <c r="I24" i="36"/>
  <c r="I12" i="36"/>
  <c r="I25" i="36" s="1"/>
  <c r="K93" i="36"/>
  <c r="B69" i="36"/>
  <c r="H24" i="36"/>
  <c r="H12" i="36"/>
  <c r="H25" i="36" s="1"/>
  <c r="G12" i="36"/>
  <c r="G24" i="36"/>
  <c r="J62" i="36"/>
  <c r="E62" i="36"/>
  <c r="C77" i="36"/>
  <c r="D12" i="34"/>
  <c r="E12" i="34" s="1"/>
  <c r="C13" i="34" s="1"/>
  <c r="D7" i="34"/>
  <c r="E7" i="34" s="1"/>
  <c r="C8" i="34" s="1"/>
  <c r="D17" i="34"/>
  <c r="E17" i="34"/>
  <c r="C18" i="34" s="1"/>
  <c r="D25" i="34"/>
  <c r="E25" i="34" s="1"/>
  <c r="C26" i="34" s="1"/>
  <c r="D26" i="34" s="1"/>
  <c r="K99" i="36" l="1"/>
  <c r="C24" i="36"/>
  <c r="G25" i="36"/>
  <c r="K94" i="36"/>
  <c r="K101" i="36" s="1"/>
  <c r="F12" i="36"/>
  <c r="F25" i="36" s="1"/>
  <c r="C25" i="36"/>
  <c r="G9" i="40" s="1"/>
  <c r="D13" i="34"/>
  <c r="E13" i="34"/>
  <c r="D28" i="34"/>
  <c r="B70" i="36"/>
  <c r="B24" i="36"/>
  <c r="J63" i="36"/>
  <c r="E63" i="36"/>
  <c r="K63" i="36" s="1"/>
  <c r="K62" i="36"/>
  <c r="J65" i="36"/>
  <c r="E65" i="36"/>
  <c r="K65" i="36" s="1"/>
  <c r="J67" i="36"/>
  <c r="E67" i="36"/>
  <c r="K67" i="36" s="1"/>
  <c r="J69" i="36"/>
  <c r="E69" i="36"/>
  <c r="K69" i="36" s="1"/>
  <c r="E74" i="36"/>
  <c r="K74" i="36" s="1"/>
  <c r="J74" i="36"/>
  <c r="J73" i="36"/>
  <c r="B75" i="36"/>
  <c r="E73" i="36"/>
  <c r="J12" i="36"/>
  <c r="J24" i="36"/>
  <c r="D8" i="34"/>
  <c r="D18" i="34"/>
  <c r="E18" i="34" s="1"/>
  <c r="E26" i="34"/>
  <c r="D19" i="34" l="1"/>
  <c r="B77" i="36"/>
  <c r="J70" i="36"/>
  <c r="L12" i="36"/>
  <c r="J25" i="36"/>
  <c r="G10" i="40" s="1"/>
  <c r="E75" i="36"/>
  <c r="K73" i="36"/>
  <c r="K75" i="36" s="1"/>
  <c r="K70" i="36"/>
  <c r="K77" i="36" s="1"/>
  <c r="E70" i="36"/>
  <c r="J75" i="36"/>
  <c r="E8" i="34"/>
  <c r="C9" i="34" s="1"/>
  <c r="D9" i="34" s="1"/>
  <c r="E9" i="34" s="1"/>
  <c r="C10" i="34" s="1"/>
  <c r="E77" i="36" l="1"/>
  <c r="J77" i="36"/>
  <c r="D10" i="34"/>
  <c r="D14" i="34" s="1"/>
  <c r="D32" i="34" s="1"/>
  <c r="G883" i="4" l="1"/>
  <c r="G856" i="40"/>
  <c r="E10" i="34"/>
  <c r="G418" i="4"/>
  <c r="M19" i="29"/>
  <c r="M20" i="29" s="1"/>
  <c r="M12" i="29"/>
  <c r="G862" i="4"/>
  <c r="M21" i="29" l="1"/>
  <c r="G419" i="4"/>
  <c r="E427" i="4" l="1"/>
  <c r="C64" i="5"/>
  <c r="D10" i="5" s="1"/>
  <c r="C66" i="5"/>
  <c r="F10" i="5" s="1"/>
  <c r="C63" i="5"/>
  <c r="C10" i="5" s="1"/>
  <c r="G63" i="5"/>
  <c r="C19" i="5" s="1"/>
  <c r="G64" i="5"/>
  <c r="D19" i="5" s="1"/>
  <c r="G65" i="5"/>
  <c r="E19" i="5" s="1"/>
  <c r="G66" i="5"/>
  <c r="F19" i="5" s="1"/>
  <c r="G67" i="5"/>
  <c r="G19" i="5" s="1"/>
  <c r="G68" i="5"/>
  <c r="H19" i="5" s="1"/>
  <c r="G69" i="5"/>
  <c r="I19" i="5" s="1"/>
  <c r="C73" i="5"/>
  <c r="M69" i="5" l="1"/>
  <c r="J338" i="4" l="1"/>
  <c r="H410" i="1" l="1"/>
  <c r="J410" i="1" s="1"/>
  <c r="E410" i="1"/>
  <c r="G410" i="1" s="1"/>
  <c r="C68" i="5" l="1"/>
  <c r="H10" i="5" s="1"/>
  <c r="C69" i="5"/>
  <c r="I10" i="5" s="1"/>
  <c r="L26" i="22"/>
  <c r="L24" i="22"/>
  <c r="G9" i="28" l="1"/>
  <c r="G818" i="40" s="1"/>
  <c r="G455" i="4"/>
  <c r="G901" i="4" l="1"/>
  <c r="M70" i="5" l="1"/>
  <c r="M62" i="5"/>
  <c r="M71" i="5" l="1"/>
  <c r="M72" i="5" s="1"/>
  <c r="C74" i="5" s="1"/>
  <c r="G36" i="29"/>
  <c r="G27" i="29"/>
  <c r="G28" i="29"/>
  <c r="G29" i="29"/>
  <c r="G30" i="29"/>
  <c r="G18" i="29"/>
  <c r="E46" i="31"/>
  <c r="E39" i="31"/>
  <c r="E40" i="31"/>
  <c r="E41" i="31"/>
  <c r="E31" i="31"/>
  <c r="E28" i="31"/>
  <c r="E15" i="31"/>
  <c r="E16" i="31"/>
  <c r="E17" i="31"/>
  <c r="E18" i="31"/>
  <c r="E19" i="31"/>
  <c r="E20" i="31"/>
  <c r="E21" i="31"/>
  <c r="E22" i="31"/>
  <c r="E23" i="31"/>
  <c r="E24" i="31"/>
  <c r="E25" i="31"/>
  <c r="L36" i="29" l="1"/>
  <c r="M36" i="29" s="1"/>
  <c r="L35" i="29"/>
  <c r="L30" i="29"/>
  <c r="L29" i="29"/>
  <c r="M29" i="29" s="1"/>
  <c r="L28" i="29"/>
  <c r="M28" i="29" s="1"/>
  <c r="L27" i="29"/>
  <c r="M27" i="29" s="1"/>
  <c r="L19" i="29"/>
  <c r="L18" i="29"/>
  <c r="L17" i="29"/>
  <c r="L16" i="29"/>
  <c r="L15" i="29"/>
  <c r="L14" i="29"/>
  <c r="L11" i="29"/>
  <c r="L10" i="29"/>
  <c r="M35" i="29"/>
  <c r="M30" i="29"/>
  <c r="F36" i="29"/>
  <c r="C36" i="29" s="1"/>
  <c r="F28" i="29"/>
  <c r="F29" i="29"/>
  <c r="F27" i="29"/>
  <c r="D37" i="29"/>
  <c r="E37" i="29"/>
  <c r="C28" i="29" l="1"/>
  <c r="C27" i="29"/>
  <c r="C29" i="29"/>
  <c r="E43" i="31"/>
  <c r="E37" i="31"/>
  <c r="E26" i="31"/>
  <c r="E31" i="29"/>
  <c r="D31" i="29"/>
  <c r="G31" i="29"/>
  <c r="F22" i="29"/>
  <c r="E20" i="29"/>
  <c r="D20" i="29"/>
  <c r="E12" i="29"/>
  <c r="D12" i="29"/>
  <c r="G815" i="4"/>
  <c r="G807" i="4"/>
  <c r="G806" i="4"/>
  <c r="G769" i="4"/>
  <c r="G814" i="4"/>
  <c r="G813" i="4"/>
  <c r="K477" i="4"/>
  <c r="M477" i="4" s="1"/>
  <c r="O932" i="4"/>
  <c r="O933" i="4" s="1"/>
  <c r="O934" i="4" s="1"/>
  <c r="G864" i="4"/>
  <c r="H863" i="4"/>
  <c r="H277" i="4"/>
  <c r="H864" i="4"/>
  <c r="G456" i="4"/>
  <c r="G863" i="4"/>
  <c r="E21" i="29" l="1"/>
  <c r="E23" i="29" s="1"/>
  <c r="G457" i="4"/>
  <c r="D21" i="29"/>
  <c r="D23" i="29" s="1"/>
  <c r="D25" i="29"/>
  <c r="D32" i="29" s="1"/>
  <c r="D38" i="29" s="1"/>
  <c r="E25" i="29"/>
  <c r="E32" i="29" s="1"/>
  <c r="E38" i="29" s="1"/>
  <c r="O477" i="4"/>
  <c r="I83" i="1" s="1"/>
  <c r="J411" i="1"/>
  <c r="E42" i="29" l="1"/>
  <c r="E43" i="29"/>
  <c r="D43" i="29"/>
  <c r="D42" i="29"/>
  <c r="F500" i="27"/>
  <c r="J84" i="27"/>
  <c r="J136" i="27"/>
  <c r="J143" i="27"/>
  <c r="J144" i="27"/>
  <c r="J145" i="27"/>
  <c r="J268" i="27"/>
  <c r="J274" i="27"/>
  <c r="J275" i="27"/>
  <c r="J276" i="27"/>
  <c r="J505" i="27"/>
  <c r="J504" i="27"/>
  <c r="C405" i="2" l="1"/>
  <c r="M506" i="4"/>
  <c r="B55" i="5" l="1"/>
  <c r="E55" i="5"/>
  <c r="D55" i="5"/>
  <c r="F53" i="5"/>
  <c r="C55" i="5"/>
  <c r="E42" i="5"/>
  <c r="D42" i="5"/>
  <c r="X34" i="5"/>
  <c r="W33" i="5"/>
  <c r="W32" i="5"/>
  <c r="W30" i="5"/>
  <c r="W28" i="5"/>
  <c r="W27" i="5"/>
  <c r="W26" i="5"/>
  <c r="W25" i="5"/>
  <c r="H87" i="1"/>
  <c r="J87" i="1" s="1"/>
  <c r="E87" i="1"/>
  <c r="G87" i="1" s="1"/>
  <c r="H86" i="1"/>
  <c r="J86" i="1" s="1"/>
  <c r="E86" i="1"/>
  <c r="G86" i="1" s="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G233" i="4"/>
  <c r="F40" i="5" l="1"/>
  <c r="W34" i="5"/>
  <c r="F55" i="5"/>
  <c r="V30" i="7"/>
  <c r="G22" i="7" s="1"/>
  <c r="C42" i="5" l="1"/>
  <c r="F42" i="5"/>
  <c r="B42" i="5"/>
  <c r="Y26" i="7"/>
  <c r="Y28" i="7"/>
  <c r="J466" i="1"/>
  <c r="G466" i="1"/>
  <c r="J290" i="1"/>
  <c r="G290" i="1"/>
  <c r="J447" i="1"/>
  <c r="G447" i="1"/>
  <c r="J334" i="1"/>
  <c r="G334" i="1"/>
  <c r="J196" i="1"/>
  <c r="G196" i="1"/>
  <c r="J122" i="1"/>
  <c r="G122" i="1"/>
  <c r="F525" i="27"/>
  <c r="G525" i="27" s="1"/>
  <c r="N524" i="27"/>
  <c r="M524" i="27"/>
  <c r="L524" i="27"/>
  <c r="K524" i="27"/>
  <c r="J524" i="27"/>
  <c r="F524" i="27"/>
  <c r="G524" i="27" s="1"/>
  <c r="N523" i="27"/>
  <c r="M523" i="27"/>
  <c r="L523" i="27"/>
  <c r="K523" i="27"/>
  <c r="J523" i="27"/>
  <c r="F523" i="27"/>
  <c r="G523" i="27" s="1"/>
  <c r="N522" i="27"/>
  <c r="M522" i="27"/>
  <c r="L522" i="27"/>
  <c r="K522" i="27"/>
  <c r="J522" i="27"/>
  <c r="F522" i="27"/>
  <c r="G522" i="27" s="1"/>
  <c r="N521" i="27"/>
  <c r="M521" i="27"/>
  <c r="L521" i="27"/>
  <c r="K521" i="27"/>
  <c r="J521" i="27"/>
  <c r="F521" i="27"/>
  <c r="G521" i="27" s="1"/>
  <c r="N520" i="27"/>
  <c r="M520" i="27"/>
  <c r="L520" i="27"/>
  <c r="K520" i="27"/>
  <c r="J520" i="27"/>
  <c r="F520" i="27"/>
  <c r="G520" i="27" s="1"/>
  <c r="N519" i="27"/>
  <c r="M519" i="27"/>
  <c r="L519" i="27"/>
  <c r="K519" i="27"/>
  <c r="J519" i="27"/>
  <c r="F519" i="27"/>
  <c r="G519" i="27" s="1"/>
  <c r="H507" i="27"/>
  <c r="I507" i="27" s="1"/>
  <c r="H506" i="27"/>
  <c r="I506" i="27" s="1"/>
  <c r="F502" i="27"/>
  <c r="H501" i="27"/>
  <c r="I501" i="27" s="1"/>
  <c r="H500" i="27"/>
  <c r="I500" i="27" s="1"/>
  <c r="H499" i="27"/>
  <c r="I499" i="27" s="1"/>
  <c r="N499" i="27" s="1"/>
  <c r="H498" i="27"/>
  <c r="I498" i="27" s="1"/>
  <c r="H497" i="27"/>
  <c r="I497" i="27" s="1"/>
  <c r="N497" i="27" s="1"/>
  <c r="H496" i="27"/>
  <c r="I496" i="27" s="1"/>
  <c r="K496" i="27" s="1"/>
  <c r="H495" i="27"/>
  <c r="I495" i="27" s="1"/>
  <c r="L495" i="27" s="1"/>
  <c r="H494" i="27"/>
  <c r="I494" i="27" s="1"/>
  <c r="J494" i="27" s="1"/>
  <c r="H493" i="27"/>
  <c r="I493" i="27" s="1"/>
  <c r="J493" i="27" s="1"/>
  <c r="H492" i="27"/>
  <c r="I492" i="27" s="1"/>
  <c r="L492" i="27" s="1"/>
  <c r="H491" i="27"/>
  <c r="I491" i="27" s="1"/>
  <c r="K491" i="27" s="1"/>
  <c r="H490" i="27"/>
  <c r="I490" i="27" s="1"/>
  <c r="H489" i="27"/>
  <c r="I489" i="27" s="1"/>
  <c r="N489" i="27" s="1"/>
  <c r="H488" i="27"/>
  <c r="I488" i="27" s="1"/>
  <c r="H487" i="27"/>
  <c r="I487" i="27" s="1"/>
  <c r="K487" i="27" s="1"/>
  <c r="H486" i="27"/>
  <c r="I486" i="27" s="1"/>
  <c r="H485" i="27"/>
  <c r="I485" i="27" s="1"/>
  <c r="H484" i="27"/>
  <c r="I484" i="27" s="1"/>
  <c r="H483" i="27"/>
  <c r="I483" i="27" s="1"/>
  <c r="H482" i="27"/>
  <c r="I482" i="27" s="1"/>
  <c r="H481" i="27"/>
  <c r="I481" i="27" s="1"/>
  <c r="N481" i="27" s="1"/>
  <c r="H480" i="27"/>
  <c r="I480" i="27" s="1"/>
  <c r="L480" i="27" s="1"/>
  <c r="H479" i="27"/>
  <c r="I479" i="27" s="1"/>
  <c r="H478" i="27"/>
  <c r="I478" i="27" s="1"/>
  <c r="H477" i="27"/>
  <c r="I477" i="27" s="1"/>
  <c r="J477" i="27" s="1"/>
  <c r="H476" i="27"/>
  <c r="I476" i="27" s="1"/>
  <c r="H475" i="27"/>
  <c r="I475" i="27" s="1"/>
  <c r="N475" i="27" s="1"/>
  <c r="H474" i="27"/>
  <c r="I474" i="27" s="1"/>
  <c r="H473" i="27"/>
  <c r="I473" i="27" s="1"/>
  <c r="M473" i="27" s="1"/>
  <c r="H472" i="27"/>
  <c r="I472" i="27" s="1"/>
  <c r="L472" i="27" s="1"/>
  <c r="H471" i="27"/>
  <c r="I471" i="27" s="1"/>
  <c r="K471" i="27" s="1"/>
  <c r="H470" i="27"/>
  <c r="I470" i="27" s="1"/>
  <c r="J470" i="27" s="1"/>
  <c r="H469" i="27"/>
  <c r="I469" i="27" s="1"/>
  <c r="H468" i="27"/>
  <c r="I468" i="27" s="1"/>
  <c r="M468" i="27" s="1"/>
  <c r="H467" i="27"/>
  <c r="I467" i="27" s="1"/>
  <c r="N467" i="27" s="1"/>
  <c r="H466" i="27"/>
  <c r="I466" i="27" s="1"/>
  <c r="H465" i="27"/>
  <c r="I465" i="27" s="1"/>
  <c r="H464" i="27"/>
  <c r="I464" i="27" s="1"/>
  <c r="K464" i="27" s="1"/>
  <c r="H463" i="27"/>
  <c r="I463" i="27" s="1"/>
  <c r="H462" i="27"/>
  <c r="I462" i="27" s="1"/>
  <c r="H461" i="27"/>
  <c r="I461" i="27" s="1"/>
  <c r="M461" i="27" s="1"/>
  <c r="H460" i="27"/>
  <c r="I460" i="27" s="1"/>
  <c r="H459" i="27"/>
  <c r="I459" i="27" s="1"/>
  <c r="J459" i="27" s="1"/>
  <c r="H458" i="27"/>
  <c r="I458" i="27" s="1"/>
  <c r="H457" i="27"/>
  <c r="I457" i="27" s="1"/>
  <c r="H456" i="27"/>
  <c r="I456" i="27" s="1"/>
  <c r="H455" i="27"/>
  <c r="I455" i="27" s="1"/>
  <c r="H454" i="27"/>
  <c r="I454" i="27" s="1"/>
  <c r="N454" i="27" s="1"/>
  <c r="H453" i="27"/>
  <c r="I453" i="27" s="1"/>
  <c r="L453" i="27" s="1"/>
  <c r="H452" i="27"/>
  <c r="I452" i="27" s="1"/>
  <c r="L452" i="27" s="1"/>
  <c r="H451" i="27"/>
  <c r="I451" i="27" s="1"/>
  <c r="J451" i="27" s="1"/>
  <c r="H450" i="27"/>
  <c r="I450" i="27" s="1"/>
  <c r="L450" i="27" s="1"/>
  <c r="H449" i="27"/>
  <c r="I449" i="27" s="1"/>
  <c r="K449" i="27" s="1"/>
  <c r="H448" i="27"/>
  <c r="I448" i="27" s="1"/>
  <c r="H447" i="27"/>
  <c r="I447" i="27" s="1"/>
  <c r="H446" i="27"/>
  <c r="I446" i="27" s="1"/>
  <c r="N446" i="27" s="1"/>
  <c r="H445" i="27"/>
  <c r="I445" i="27" s="1"/>
  <c r="K445" i="27" s="1"/>
  <c r="H444" i="27"/>
  <c r="I444" i="27" s="1"/>
  <c r="H443" i="27"/>
  <c r="I443" i="27" s="1"/>
  <c r="J443" i="27" s="1"/>
  <c r="H442" i="27"/>
  <c r="I442" i="27" s="1"/>
  <c r="M442" i="27" s="1"/>
  <c r="H441" i="27"/>
  <c r="I441" i="27" s="1"/>
  <c r="H440" i="27"/>
  <c r="I440" i="27" s="1"/>
  <c r="M440" i="27" s="1"/>
  <c r="H439" i="27"/>
  <c r="I439" i="27" s="1"/>
  <c r="N439" i="27" s="1"/>
  <c r="H438" i="27"/>
  <c r="I438" i="27" s="1"/>
  <c r="N438" i="27" s="1"/>
  <c r="H437" i="27"/>
  <c r="I437" i="27" s="1"/>
  <c r="K437" i="27" s="1"/>
  <c r="H436" i="27"/>
  <c r="I436" i="27" s="1"/>
  <c r="F434" i="27"/>
  <c r="H433" i="27"/>
  <c r="I433" i="27" s="1"/>
  <c r="K433" i="27" s="1"/>
  <c r="H432" i="27"/>
  <c r="I432" i="27" s="1"/>
  <c r="H431" i="27"/>
  <c r="I431" i="27" s="1"/>
  <c r="N431" i="27" s="1"/>
  <c r="F429" i="27"/>
  <c r="H428" i="27"/>
  <c r="I428" i="27" s="1"/>
  <c r="H427" i="27"/>
  <c r="I427" i="27" s="1"/>
  <c r="H426" i="27"/>
  <c r="I426" i="27" s="1"/>
  <c r="L426" i="27" s="1"/>
  <c r="H425" i="27"/>
  <c r="I425" i="27" s="1"/>
  <c r="F423" i="27"/>
  <c r="H421" i="27"/>
  <c r="I421" i="27" s="1"/>
  <c r="N421" i="27" s="1"/>
  <c r="H420" i="27"/>
  <c r="I420" i="27" s="1"/>
  <c r="H419" i="27"/>
  <c r="I419" i="27" s="1"/>
  <c r="K419" i="27" s="1"/>
  <c r="H418" i="27"/>
  <c r="I418" i="27" s="1"/>
  <c r="J418" i="27" s="1"/>
  <c r="H417" i="27"/>
  <c r="I417" i="27" s="1"/>
  <c r="J417" i="27" s="1"/>
  <c r="H416" i="27"/>
  <c r="I416" i="27" s="1"/>
  <c r="H415" i="27"/>
  <c r="I415" i="27" s="1"/>
  <c r="M415" i="27" s="1"/>
  <c r="H414" i="27"/>
  <c r="I414" i="27" s="1"/>
  <c r="J414" i="27" s="1"/>
  <c r="H413" i="27"/>
  <c r="I413" i="27" s="1"/>
  <c r="H412" i="27"/>
  <c r="I412" i="27" s="1"/>
  <c r="H411" i="27"/>
  <c r="I411" i="27" s="1"/>
  <c r="H410" i="27"/>
  <c r="I410" i="27" s="1"/>
  <c r="H409" i="27"/>
  <c r="I409" i="27" s="1"/>
  <c r="H408" i="27"/>
  <c r="I408" i="27" s="1"/>
  <c r="M408" i="27" s="1"/>
  <c r="H407" i="27"/>
  <c r="I407" i="27" s="1"/>
  <c r="M407" i="27" s="1"/>
  <c r="H406" i="27"/>
  <c r="I406" i="27" s="1"/>
  <c r="K406" i="27" s="1"/>
  <c r="H405" i="27"/>
  <c r="I405" i="27" s="1"/>
  <c r="N405" i="27" s="1"/>
  <c r="H404" i="27"/>
  <c r="I404" i="27" s="1"/>
  <c r="H403" i="27"/>
  <c r="I403" i="27" s="1"/>
  <c r="H402" i="27"/>
  <c r="I402" i="27" s="1"/>
  <c r="N402" i="27" s="1"/>
  <c r="H401" i="27"/>
  <c r="I401" i="27" s="1"/>
  <c r="H400" i="27"/>
  <c r="I400" i="27" s="1"/>
  <c r="H399" i="27"/>
  <c r="I399" i="27" s="1"/>
  <c r="M399" i="27" s="1"/>
  <c r="H398" i="27"/>
  <c r="I398" i="27" s="1"/>
  <c r="J398" i="27" s="1"/>
  <c r="H397" i="27"/>
  <c r="I397" i="27" s="1"/>
  <c r="H396" i="27"/>
  <c r="I396" i="27" s="1"/>
  <c r="F394" i="27"/>
  <c r="H393" i="27"/>
  <c r="I393" i="27" s="1"/>
  <c r="M393" i="27" s="1"/>
  <c r="H392" i="27"/>
  <c r="I392" i="27" s="1"/>
  <c r="L392" i="27" s="1"/>
  <c r="H391" i="27"/>
  <c r="I391" i="27" s="1"/>
  <c r="N391" i="27" s="1"/>
  <c r="F389" i="27"/>
  <c r="H388" i="27"/>
  <c r="I388" i="27" s="1"/>
  <c r="J388" i="27" s="1"/>
  <c r="F386" i="27"/>
  <c r="H385" i="27"/>
  <c r="I385" i="27" s="1"/>
  <c r="H384" i="27"/>
  <c r="I384" i="27" s="1"/>
  <c r="M384" i="27" s="1"/>
  <c r="H383" i="27"/>
  <c r="I383" i="27" s="1"/>
  <c r="H382" i="27"/>
  <c r="I382" i="27" s="1"/>
  <c r="L382" i="27" s="1"/>
  <c r="H381" i="27"/>
  <c r="I381" i="27" s="1"/>
  <c r="N381" i="27" s="1"/>
  <c r="H380" i="27"/>
  <c r="I380" i="27" s="1"/>
  <c r="J380" i="27" s="1"/>
  <c r="H379" i="27"/>
  <c r="I379" i="27" s="1"/>
  <c r="H378" i="27"/>
  <c r="I378" i="27" s="1"/>
  <c r="H377" i="27"/>
  <c r="I377" i="27" s="1"/>
  <c r="H376" i="27"/>
  <c r="I376" i="27" s="1"/>
  <c r="J376" i="27" s="1"/>
  <c r="H375" i="27"/>
  <c r="I375" i="27" s="1"/>
  <c r="L375" i="27" s="1"/>
  <c r="H374" i="27"/>
  <c r="I374" i="27" s="1"/>
  <c r="L374" i="27" s="1"/>
  <c r="H373" i="27"/>
  <c r="I373" i="27" s="1"/>
  <c r="J373" i="27" s="1"/>
  <c r="H372" i="27"/>
  <c r="I372" i="27" s="1"/>
  <c r="H371" i="27"/>
  <c r="I371" i="27" s="1"/>
  <c r="H370" i="27"/>
  <c r="I370" i="27" s="1"/>
  <c r="L370" i="27" s="1"/>
  <c r="H369" i="27"/>
  <c r="I369" i="27" s="1"/>
  <c r="N369" i="27" s="1"/>
  <c r="H368" i="27"/>
  <c r="I368" i="27" s="1"/>
  <c r="N368" i="27" s="1"/>
  <c r="H367" i="27"/>
  <c r="I367" i="27" s="1"/>
  <c r="H366" i="27"/>
  <c r="I366" i="27" s="1"/>
  <c r="H365" i="27"/>
  <c r="I365" i="27" s="1"/>
  <c r="H364" i="27"/>
  <c r="I364" i="27" s="1"/>
  <c r="K364" i="27" s="1"/>
  <c r="H363" i="27"/>
  <c r="I363" i="27" s="1"/>
  <c r="K363" i="27" s="1"/>
  <c r="H362" i="27"/>
  <c r="I362" i="27" s="1"/>
  <c r="N362" i="27" s="1"/>
  <c r="H361" i="27"/>
  <c r="I361" i="27" s="1"/>
  <c r="L361" i="27" s="1"/>
  <c r="H360" i="27"/>
  <c r="I360" i="27" s="1"/>
  <c r="L360" i="27" s="1"/>
  <c r="H359" i="27"/>
  <c r="I359" i="27" s="1"/>
  <c r="H358" i="27"/>
  <c r="I358" i="27" s="1"/>
  <c r="H357" i="27"/>
  <c r="I357" i="27" s="1"/>
  <c r="H356" i="27"/>
  <c r="I356" i="27" s="1"/>
  <c r="K356" i="27" s="1"/>
  <c r="H355" i="27"/>
  <c r="I355" i="27" s="1"/>
  <c r="H354" i="27"/>
  <c r="I354" i="27" s="1"/>
  <c r="M354" i="27" s="1"/>
  <c r="H353" i="27"/>
  <c r="I353" i="27" s="1"/>
  <c r="H352" i="27"/>
  <c r="I352" i="27" s="1"/>
  <c r="L352" i="27" s="1"/>
  <c r="H351" i="27"/>
  <c r="I351" i="27" s="1"/>
  <c r="H350" i="27"/>
  <c r="I350" i="27" s="1"/>
  <c r="M350" i="27" s="1"/>
  <c r="H349" i="27"/>
  <c r="I349" i="27" s="1"/>
  <c r="H348" i="27"/>
  <c r="I348" i="27" s="1"/>
  <c r="K348" i="27" s="1"/>
  <c r="H347" i="27"/>
  <c r="I347" i="27" s="1"/>
  <c r="H346" i="27"/>
  <c r="I346" i="27" s="1"/>
  <c r="N346" i="27" s="1"/>
  <c r="H345" i="27"/>
  <c r="I345" i="27" s="1"/>
  <c r="L345" i="27" s="1"/>
  <c r="H344" i="27"/>
  <c r="I344" i="27" s="1"/>
  <c r="H343" i="27"/>
  <c r="I343" i="27" s="1"/>
  <c r="H342" i="27"/>
  <c r="I342" i="27" s="1"/>
  <c r="H341" i="27"/>
  <c r="I341" i="27" s="1"/>
  <c r="H340" i="27"/>
  <c r="I340" i="27" s="1"/>
  <c r="H339" i="27"/>
  <c r="I339" i="27" s="1"/>
  <c r="K339" i="27" s="1"/>
  <c r="H338" i="27"/>
  <c r="I338" i="27" s="1"/>
  <c r="H337" i="27"/>
  <c r="I337" i="27" s="1"/>
  <c r="J337" i="27" s="1"/>
  <c r="H336" i="27"/>
  <c r="I336" i="27" s="1"/>
  <c r="L336" i="27" s="1"/>
  <c r="H335" i="27"/>
  <c r="I335" i="27" s="1"/>
  <c r="H334" i="27"/>
  <c r="I334" i="27" s="1"/>
  <c r="H333" i="27"/>
  <c r="I333" i="27" s="1"/>
  <c r="H332" i="27"/>
  <c r="I332" i="27" s="1"/>
  <c r="H331" i="27"/>
  <c r="I331" i="27" s="1"/>
  <c r="K331" i="27" s="1"/>
  <c r="H330" i="27"/>
  <c r="I330" i="27" s="1"/>
  <c r="J330" i="27" s="1"/>
  <c r="H329" i="27"/>
  <c r="I329" i="27" s="1"/>
  <c r="L329" i="27" s="1"/>
  <c r="H328" i="27"/>
  <c r="I328" i="27" s="1"/>
  <c r="H327" i="27"/>
  <c r="I327" i="27" s="1"/>
  <c r="J327" i="27" s="1"/>
  <c r="H326" i="27"/>
  <c r="I326" i="27" s="1"/>
  <c r="J326" i="27" s="1"/>
  <c r="H325" i="27"/>
  <c r="I325" i="27" s="1"/>
  <c r="M325" i="27" s="1"/>
  <c r="H324" i="27"/>
  <c r="I324" i="27" s="1"/>
  <c r="H323" i="27"/>
  <c r="I323" i="27" s="1"/>
  <c r="N323" i="27" s="1"/>
  <c r="H322" i="27"/>
  <c r="I322" i="27" s="1"/>
  <c r="H321" i="27"/>
  <c r="I321" i="27" s="1"/>
  <c r="J321" i="27" s="1"/>
  <c r="H320" i="27"/>
  <c r="I320" i="27" s="1"/>
  <c r="H319" i="27"/>
  <c r="I319" i="27" s="1"/>
  <c r="J319" i="27" s="1"/>
  <c r="H318" i="27"/>
  <c r="I318" i="27" s="1"/>
  <c r="H317" i="27"/>
  <c r="I317" i="27" s="1"/>
  <c r="M317" i="27" s="1"/>
  <c r="H316" i="27"/>
  <c r="I316" i="27" s="1"/>
  <c r="K316" i="27" s="1"/>
  <c r="H315" i="27"/>
  <c r="I315" i="27" s="1"/>
  <c r="H314" i="27"/>
  <c r="I314" i="27" s="1"/>
  <c r="H313" i="27"/>
  <c r="I313" i="27" s="1"/>
  <c r="M313" i="27" s="1"/>
  <c r="H312" i="27"/>
  <c r="I312" i="27" s="1"/>
  <c r="H311" i="27"/>
  <c r="I311" i="27" s="1"/>
  <c r="N311" i="27" s="1"/>
  <c r="H310" i="27"/>
  <c r="I310" i="27" s="1"/>
  <c r="J310" i="27" s="1"/>
  <c r="H309" i="27"/>
  <c r="I309" i="27" s="1"/>
  <c r="J309" i="27" s="1"/>
  <c r="H308" i="27"/>
  <c r="I308" i="27" s="1"/>
  <c r="H307" i="27"/>
  <c r="I307" i="27" s="1"/>
  <c r="H306" i="27"/>
  <c r="I306" i="27" s="1"/>
  <c r="N306" i="27" s="1"/>
  <c r="H305" i="27"/>
  <c r="I305" i="27" s="1"/>
  <c r="J305" i="27" s="1"/>
  <c r="H304" i="27"/>
  <c r="I304" i="27" s="1"/>
  <c r="M304" i="27" s="1"/>
  <c r="H303" i="27"/>
  <c r="I303" i="27" s="1"/>
  <c r="J303" i="27" s="1"/>
  <c r="H302" i="27"/>
  <c r="I302" i="27" s="1"/>
  <c r="L302" i="27" s="1"/>
  <c r="H301" i="27"/>
  <c r="I301" i="27" s="1"/>
  <c r="H300" i="27"/>
  <c r="I300" i="27" s="1"/>
  <c r="H299" i="27"/>
  <c r="I299" i="27" s="1"/>
  <c r="H298" i="27"/>
  <c r="I298" i="27" s="1"/>
  <c r="J298" i="27" s="1"/>
  <c r="H297" i="27"/>
  <c r="I297" i="27" s="1"/>
  <c r="M297" i="27" s="1"/>
  <c r="H296" i="27"/>
  <c r="I296" i="27" s="1"/>
  <c r="H295" i="27"/>
  <c r="I295" i="27" s="1"/>
  <c r="N295" i="27" s="1"/>
  <c r="H294" i="27"/>
  <c r="I294" i="27" s="1"/>
  <c r="L294" i="27" s="1"/>
  <c r="H293" i="27"/>
  <c r="I293" i="27" s="1"/>
  <c r="H292" i="27"/>
  <c r="I292" i="27" s="1"/>
  <c r="H291" i="27"/>
  <c r="I291" i="27" s="1"/>
  <c r="N291" i="27" s="1"/>
  <c r="H290" i="27"/>
  <c r="I290" i="27" s="1"/>
  <c r="H289" i="27"/>
  <c r="I289" i="27" s="1"/>
  <c r="H288" i="27"/>
  <c r="I288" i="27" s="1"/>
  <c r="H287" i="27"/>
  <c r="I287" i="27" s="1"/>
  <c r="J287" i="27" s="1"/>
  <c r="H286" i="27"/>
  <c r="I286" i="27" s="1"/>
  <c r="H285" i="27"/>
  <c r="I285" i="27" s="1"/>
  <c r="H284" i="27"/>
  <c r="I284" i="27" s="1"/>
  <c r="H283" i="27"/>
  <c r="I283" i="27" s="1"/>
  <c r="H282" i="27"/>
  <c r="I282" i="27" s="1"/>
  <c r="H281" i="27"/>
  <c r="I281" i="27" s="1"/>
  <c r="M281" i="27" s="1"/>
  <c r="H280" i="27"/>
  <c r="I280" i="27" s="1"/>
  <c r="M280" i="27" s="1"/>
  <c r="H279" i="27"/>
  <c r="I279" i="27" s="1"/>
  <c r="F277" i="27"/>
  <c r="H273" i="27"/>
  <c r="I273" i="27" s="1"/>
  <c r="K273" i="27" s="1"/>
  <c r="H272" i="27"/>
  <c r="I272" i="27" s="1"/>
  <c r="H271" i="27"/>
  <c r="I271" i="27" s="1"/>
  <c r="M271" i="27" s="1"/>
  <c r="F269" i="27"/>
  <c r="H267" i="27"/>
  <c r="I267" i="27" s="1"/>
  <c r="H266" i="27"/>
  <c r="I266" i="27" s="1"/>
  <c r="H265" i="27"/>
  <c r="I265" i="27" s="1"/>
  <c r="N265" i="27" s="1"/>
  <c r="H264" i="27"/>
  <c r="I264" i="27" s="1"/>
  <c r="F262" i="27"/>
  <c r="H261" i="27"/>
  <c r="I261" i="27" s="1"/>
  <c r="N261" i="27" s="1"/>
  <c r="H260" i="27"/>
  <c r="I260" i="27" s="1"/>
  <c r="J260" i="27" s="1"/>
  <c r="H259" i="27"/>
  <c r="I259" i="27" s="1"/>
  <c r="M259" i="27" s="1"/>
  <c r="H258" i="27"/>
  <c r="I258" i="27" s="1"/>
  <c r="J258" i="27" s="1"/>
  <c r="H257" i="27"/>
  <c r="I257" i="27" s="1"/>
  <c r="L257" i="27" s="1"/>
  <c r="F255" i="27"/>
  <c r="H254" i="27"/>
  <c r="I254" i="27" s="1"/>
  <c r="J254" i="27" s="1"/>
  <c r="H253" i="27"/>
  <c r="I253" i="27" s="1"/>
  <c r="H252" i="27"/>
  <c r="I252" i="27" s="1"/>
  <c r="M252" i="27" s="1"/>
  <c r="H251" i="27"/>
  <c r="I251" i="27" s="1"/>
  <c r="K251" i="27" s="1"/>
  <c r="H250" i="27"/>
  <c r="I250" i="27" s="1"/>
  <c r="K250" i="27" s="1"/>
  <c r="H249" i="27"/>
  <c r="I249" i="27" s="1"/>
  <c r="N249" i="27" s="1"/>
  <c r="H248" i="27"/>
  <c r="I248" i="27" s="1"/>
  <c r="K248" i="27" s="1"/>
  <c r="H247" i="27"/>
  <c r="I247" i="27" s="1"/>
  <c r="H246" i="27"/>
  <c r="I246" i="27" s="1"/>
  <c r="J246" i="27" s="1"/>
  <c r="H245" i="27"/>
  <c r="I245" i="27" s="1"/>
  <c r="H244" i="27"/>
  <c r="I244" i="27" s="1"/>
  <c r="H243" i="27"/>
  <c r="I243" i="27" s="1"/>
  <c r="H242" i="27"/>
  <c r="I242" i="27" s="1"/>
  <c r="H241" i="27"/>
  <c r="I241" i="27" s="1"/>
  <c r="N241" i="27" s="1"/>
  <c r="H240" i="27"/>
  <c r="I240" i="27" s="1"/>
  <c r="H239" i="27"/>
  <c r="I239" i="27" s="1"/>
  <c r="J239" i="27" s="1"/>
  <c r="H238" i="27"/>
  <c r="I238" i="27" s="1"/>
  <c r="H237" i="27"/>
  <c r="I237" i="27" s="1"/>
  <c r="H236" i="27"/>
  <c r="I236" i="27" s="1"/>
  <c r="M236" i="27" s="1"/>
  <c r="H235" i="27"/>
  <c r="I235" i="27" s="1"/>
  <c r="M235" i="27" s="1"/>
  <c r="H234" i="27"/>
  <c r="I234" i="27" s="1"/>
  <c r="H233" i="27"/>
  <c r="I233" i="27" s="1"/>
  <c r="H232" i="27"/>
  <c r="I232" i="27" s="1"/>
  <c r="H231" i="27"/>
  <c r="I231" i="27" s="1"/>
  <c r="J231" i="27" s="1"/>
  <c r="H230" i="27"/>
  <c r="I230" i="27" s="1"/>
  <c r="J230" i="27" s="1"/>
  <c r="H229" i="27"/>
  <c r="I229" i="27" s="1"/>
  <c r="L229" i="27" s="1"/>
  <c r="H228" i="27"/>
  <c r="I228" i="27" s="1"/>
  <c r="M228" i="27" s="1"/>
  <c r="H227" i="27"/>
  <c r="I227" i="27" s="1"/>
  <c r="M227" i="27" s="1"/>
  <c r="H226" i="27"/>
  <c r="I226" i="27" s="1"/>
  <c r="N226" i="27" s="1"/>
  <c r="H225" i="27"/>
  <c r="I225" i="27" s="1"/>
  <c r="H224" i="27"/>
  <c r="I224" i="27" s="1"/>
  <c r="K224" i="27" s="1"/>
  <c r="H223" i="27"/>
  <c r="I223" i="27" s="1"/>
  <c r="H222" i="27"/>
  <c r="I222" i="27" s="1"/>
  <c r="J222" i="27" s="1"/>
  <c r="H221" i="27"/>
  <c r="I221" i="27" s="1"/>
  <c r="N221" i="27" s="1"/>
  <c r="H220" i="27"/>
  <c r="I220" i="27" s="1"/>
  <c r="M220" i="27" s="1"/>
  <c r="H219" i="27"/>
  <c r="I219" i="27" s="1"/>
  <c r="L219" i="27" s="1"/>
  <c r="H218" i="27"/>
  <c r="I218" i="27" s="1"/>
  <c r="H217" i="27"/>
  <c r="I217" i="27" s="1"/>
  <c r="N217" i="27" s="1"/>
  <c r="H216" i="27"/>
  <c r="I216" i="27" s="1"/>
  <c r="K216" i="27" s="1"/>
  <c r="H215" i="27"/>
  <c r="I215" i="27" s="1"/>
  <c r="J215" i="27" s="1"/>
  <c r="H214" i="27"/>
  <c r="I214" i="27" s="1"/>
  <c r="J214" i="27" s="1"/>
  <c r="H213" i="27"/>
  <c r="I213" i="27" s="1"/>
  <c r="H212" i="27"/>
  <c r="I212" i="27" s="1"/>
  <c r="H211" i="27"/>
  <c r="I211" i="27" s="1"/>
  <c r="K211" i="27" s="1"/>
  <c r="H210" i="27"/>
  <c r="I210" i="27" s="1"/>
  <c r="K210" i="27" s="1"/>
  <c r="H209" i="27"/>
  <c r="I209" i="27" s="1"/>
  <c r="N209" i="27" s="1"/>
  <c r="H208" i="27"/>
  <c r="I208" i="27" s="1"/>
  <c r="H207" i="27"/>
  <c r="I207" i="27" s="1"/>
  <c r="J207" i="27" s="1"/>
  <c r="H206" i="27"/>
  <c r="I206" i="27" s="1"/>
  <c r="H205" i="27"/>
  <c r="I205" i="27" s="1"/>
  <c r="M205" i="27" s="1"/>
  <c r="H204" i="27"/>
  <c r="I204" i="27" s="1"/>
  <c r="K204" i="27" s="1"/>
  <c r="H203" i="27"/>
  <c r="I203" i="27" s="1"/>
  <c r="H202" i="27"/>
  <c r="I202" i="27" s="1"/>
  <c r="J202" i="27" s="1"/>
  <c r="H201" i="27"/>
  <c r="I201" i="27" s="1"/>
  <c r="H200" i="27"/>
  <c r="I200" i="27" s="1"/>
  <c r="N200" i="27" s="1"/>
  <c r="H199" i="27"/>
  <c r="I199" i="27" s="1"/>
  <c r="K199" i="27" s="1"/>
  <c r="H198" i="27"/>
  <c r="I198" i="27" s="1"/>
  <c r="H197" i="27"/>
  <c r="I197" i="27" s="1"/>
  <c r="N197" i="27" s="1"/>
  <c r="H196" i="27"/>
  <c r="I196" i="27" s="1"/>
  <c r="H195" i="27"/>
  <c r="I195" i="27" s="1"/>
  <c r="M195" i="27" s="1"/>
  <c r="H194" i="27"/>
  <c r="I194" i="27" s="1"/>
  <c r="H193" i="27"/>
  <c r="I193" i="27" s="1"/>
  <c r="J193" i="27" s="1"/>
  <c r="H192" i="27"/>
  <c r="I192" i="27" s="1"/>
  <c r="H191" i="27"/>
  <c r="I191" i="27" s="1"/>
  <c r="H190" i="27"/>
  <c r="I190" i="27" s="1"/>
  <c r="H189" i="27"/>
  <c r="I189" i="27" s="1"/>
  <c r="H188" i="27"/>
  <c r="I188" i="27" s="1"/>
  <c r="H187" i="27"/>
  <c r="I187" i="27" s="1"/>
  <c r="K187" i="27" s="1"/>
  <c r="H186" i="27"/>
  <c r="I186" i="27" s="1"/>
  <c r="N186" i="27" s="1"/>
  <c r="H185" i="27"/>
  <c r="I185" i="27" s="1"/>
  <c r="H184" i="27"/>
  <c r="I184" i="27" s="1"/>
  <c r="H183" i="27"/>
  <c r="I183" i="27" s="1"/>
  <c r="H182" i="27"/>
  <c r="I182" i="27" s="1"/>
  <c r="H181" i="27"/>
  <c r="I181" i="27" s="1"/>
  <c r="H180" i="27"/>
  <c r="I180" i="27" s="1"/>
  <c r="H179" i="27"/>
  <c r="I179" i="27" s="1"/>
  <c r="K179" i="27" s="1"/>
  <c r="H178" i="27"/>
  <c r="I178" i="27" s="1"/>
  <c r="N178" i="27" s="1"/>
  <c r="H177" i="27"/>
  <c r="I177" i="27" s="1"/>
  <c r="H176" i="27"/>
  <c r="I176" i="27" s="1"/>
  <c r="H175" i="27"/>
  <c r="I175" i="27" s="1"/>
  <c r="H174" i="27"/>
  <c r="I174" i="27" s="1"/>
  <c r="H173" i="27"/>
  <c r="I173" i="27" s="1"/>
  <c r="H172" i="27"/>
  <c r="I172" i="27" s="1"/>
  <c r="H171" i="27"/>
  <c r="I171" i="27" s="1"/>
  <c r="M171" i="27" s="1"/>
  <c r="H170" i="27"/>
  <c r="I170" i="27" s="1"/>
  <c r="J170" i="27" s="1"/>
  <c r="H169" i="27"/>
  <c r="I169" i="27" s="1"/>
  <c r="N169" i="27" s="1"/>
  <c r="H168" i="27"/>
  <c r="I168" i="27" s="1"/>
  <c r="H167" i="27"/>
  <c r="I167" i="27" s="1"/>
  <c r="H166" i="27"/>
  <c r="I166" i="27" s="1"/>
  <c r="H165" i="27"/>
  <c r="I165" i="27" s="1"/>
  <c r="H164" i="27"/>
  <c r="I164" i="27" s="1"/>
  <c r="H163" i="27"/>
  <c r="I163" i="27" s="1"/>
  <c r="M163" i="27" s="1"/>
  <c r="H162" i="27"/>
  <c r="I162" i="27" s="1"/>
  <c r="J162" i="27" s="1"/>
  <c r="F160" i="27"/>
  <c r="H159" i="27"/>
  <c r="I159" i="27" s="1"/>
  <c r="M159" i="27" s="1"/>
  <c r="H158" i="27"/>
  <c r="I158" i="27" s="1"/>
  <c r="F156" i="27"/>
  <c r="H155" i="27"/>
  <c r="I155" i="27" s="1"/>
  <c r="H154" i="27"/>
  <c r="I154" i="27" s="1"/>
  <c r="N154" i="27" s="1"/>
  <c r="F152" i="27"/>
  <c r="H151" i="27"/>
  <c r="I151" i="27" s="1"/>
  <c r="L151" i="27" s="1"/>
  <c r="H150" i="27"/>
  <c r="I150" i="27" s="1"/>
  <c r="H149" i="27"/>
  <c r="I149" i="27" s="1"/>
  <c r="H148" i="27"/>
  <c r="I148" i="27" s="1"/>
  <c r="F146" i="27"/>
  <c r="H142" i="27"/>
  <c r="I142" i="27" s="1"/>
  <c r="H141" i="27"/>
  <c r="I141" i="27" s="1"/>
  <c r="H140" i="27"/>
  <c r="I140" i="27" s="1"/>
  <c r="F137" i="27"/>
  <c r="H135" i="27"/>
  <c r="I135" i="27" s="1"/>
  <c r="J135" i="27" s="1"/>
  <c r="H134" i="27"/>
  <c r="I134" i="27" s="1"/>
  <c r="N134" i="27" s="1"/>
  <c r="H133" i="27"/>
  <c r="I133" i="27" s="1"/>
  <c r="H132" i="27"/>
  <c r="I132" i="27" s="1"/>
  <c r="H131" i="27"/>
  <c r="I131" i="27" s="1"/>
  <c r="H130" i="27"/>
  <c r="I130" i="27" s="1"/>
  <c r="H129" i="27"/>
  <c r="I129" i="27" s="1"/>
  <c r="M129" i="27" s="1"/>
  <c r="H128" i="27"/>
  <c r="I128" i="27" s="1"/>
  <c r="H127" i="27"/>
  <c r="I127" i="27" s="1"/>
  <c r="H126" i="27"/>
  <c r="I126" i="27" s="1"/>
  <c r="H125" i="27"/>
  <c r="I125" i="27" s="1"/>
  <c r="M125" i="27" s="1"/>
  <c r="H124" i="27"/>
  <c r="I124" i="27" s="1"/>
  <c r="H123" i="27"/>
  <c r="I123" i="27" s="1"/>
  <c r="H122" i="27"/>
  <c r="I122" i="27" s="1"/>
  <c r="H121" i="27"/>
  <c r="I121" i="27" s="1"/>
  <c r="H120" i="27"/>
  <c r="I120" i="27" s="1"/>
  <c r="H119" i="27"/>
  <c r="I119" i="27" s="1"/>
  <c r="H118" i="27"/>
  <c r="I118" i="27" s="1"/>
  <c r="H117" i="27"/>
  <c r="I117" i="27" s="1"/>
  <c r="M117" i="27" s="1"/>
  <c r="H116" i="27"/>
  <c r="I116" i="27" s="1"/>
  <c r="H115" i="27"/>
  <c r="I115" i="27" s="1"/>
  <c r="H114" i="27"/>
  <c r="I114" i="27" s="1"/>
  <c r="N114" i="27" s="1"/>
  <c r="H113" i="27"/>
  <c r="I113" i="27" s="1"/>
  <c r="M113" i="27" s="1"/>
  <c r="H112" i="27"/>
  <c r="I112" i="27" s="1"/>
  <c r="H111" i="27"/>
  <c r="I111" i="27" s="1"/>
  <c r="H110" i="27"/>
  <c r="I110" i="27" s="1"/>
  <c r="H109" i="27"/>
  <c r="I109" i="27" s="1"/>
  <c r="H108" i="27"/>
  <c r="I108" i="27" s="1"/>
  <c r="H107" i="27"/>
  <c r="I107" i="27" s="1"/>
  <c r="H106" i="27"/>
  <c r="I106" i="27" s="1"/>
  <c r="H105" i="27"/>
  <c r="I105" i="27" s="1"/>
  <c r="M105" i="27" s="1"/>
  <c r="H104" i="27"/>
  <c r="I104" i="27" s="1"/>
  <c r="H103" i="27"/>
  <c r="I103" i="27" s="1"/>
  <c r="K103" i="27" s="1"/>
  <c r="H102" i="27"/>
  <c r="I102" i="27" s="1"/>
  <c r="M102" i="27" s="1"/>
  <c r="H101" i="27"/>
  <c r="I101" i="27" s="1"/>
  <c r="H100" i="27"/>
  <c r="I100" i="27" s="1"/>
  <c r="H99" i="27"/>
  <c r="I99" i="27" s="1"/>
  <c r="H98" i="27"/>
  <c r="I98" i="27" s="1"/>
  <c r="N98" i="27" s="1"/>
  <c r="H97" i="27"/>
  <c r="I97" i="27" s="1"/>
  <c r="M97" i="27" s="1"/>
  <c r="H96" i="27"/>
  <c r="I96" i="27" s="1"/>
  <c r="H95" i="27"/>
  <c r="I95" i="27" s="1"/>
  <c r="H94" i="27"/>
  <c r="I94" i="27" s="1"/>
  <c r="H93" i="27"/>
  <c r="I93" i="27" s="1"/>
  <c r="H92" i="27"/>
  <c r="I92" i="27" s="1"/>
  <c r="H91" i="27"/>
  <c r="I91" i="27" s="1"/>
  <c r="H90" i="27"/>
  <c r="I90" i="27" s="1"/>
  <c r="H89" i="27"/>
  <c r="I89" i="27" s="1"/>
  <c r="H88" i="27"/>
  <c r="I88" i="27" s="1"/>
  <c r="H87" i="27"/>
  <c r="I87" i="27" s="1"/>
  <c r="F85" i="27"/>
  <c r="H83" i="27"/>
  <c r="I83" i="27" s="1"/>
  <c r="H82" i="27"/>
  <c r="I82" i="27" s="1"/>
  <c r="H81" i="27"/>
  <c r="I81" i="27" s="1"/>
  <c r="H80" i="27"/>
  <c r="I80" i="27" s="1"/>
  <c r="L80" i="27" s="1"/>
  <c r="H79" i="27"/>
  <c r="I79" i="27" s="1"/>
  <c r="H78" i="27"/>
  <c r="I78" i="27" s="1"/>
  <c r="M78" i="27" s="1"/>
  <c r="F76" i="27"/>
  <c r="H75" i="27"/>
  <c r="I75" i="27" s="1"/>
  <c r="H74" i="27"/>
  <c r="I74" i="27" s="1"/>
  <c r="M74" i="27" s="1"/>
  <c r="F72" i="27"/>
  <c r="H71" i="27"/>
  <c r="I71" i="27" s="1"/>
  <c r="J71" i="27" s="1"/>
  <c r="H70" i="27"/>
  <c r="I70" i="27" s="1"/>
  <c r="H69" i="27"/>
  <c r="I69" i="27" s="1"/>
  <c r="H68" i="27"/>
  <c r="I68" i="27" s="1"/>
  <c r="H67" i="27"/>
  <c r="I67" i="27" s="1"/>
  <c r="M67" i="27" s="1"/>
  <c r="H66" i="27"/>
  <c r="I66" i="27" s="1"/>
  <c r="H65" i="27"/>
  <c r="I65" i="27" s="1"/>
  <c r="K65" i="27" s="1"/>
  <c r="H64" i="27"/>
  <c r="I64" i="27" s="1"/>
  <c r="J64" i="27" s="1"/>
  <c r="H63" i="27"/>
  <c r="I63" i="27" s="1"/>
  <c r="M63" i="27" s="1"/>
  <c r="H62" i="27"/>
  <c r="I62" i="27" s="1"/>
  <c r="H61" i="27"/>
  <c r="I61" i="27" s="1"/>
  <c r="K61" i="27" s="1"/>
  <c r="H60" i="27"/>
  <c r="I60" i="27" s="1"/>
  <c r="H59" i="27"/>
  <c r="I59" i="27" s="1"/>
  <c r="H58" i="27"/>
  <c r="I58" i="27" s="1"/>
  <c r="H57" i="27"/>
  <c r="I57" i="27" s="1"/>
  <c r="H56" i="27"/>
  <c r="I56" i="27" s="1"/>
  <c r="H55" i="27"/>
  <c r="I55" i="27" s="1"/>
  <c r="M55" i="27" s="1"/>
  <c r="H54" i="27"/>
  <c r="I54" i="27" s="1"/>
  <c r="H53" i="27"/>
  <c r="I53" i="27" s="1"/>
  <c r="K53" i="27" s="1"/>
  <c r="H52" i="27"/>
  <c r="I52" i="27" s="1"/>
  <c r="H51" i="27"/>
  <c r="I51" i="27" s="1"/>
  <c r="H50" i="27"/>
  <c r="I50" i="27" s="1"/>
  <c r="H49" i="27"/>
  <c r="I49" i="27" s="1"/>
  <c r="K49" i="27" s="1"/>
  <c r="H48" i="27"/>
  <c r="I48" i="27" s="1"/>
  <c r="J48" i="27" s="1"/>
  <c r="H47" i="27"/>
  <c r="I47" i="27" s="1"/>
  <c r="H46" i="27"/>
  <c r="I46" i="27" s="1"/>
  <c r="H45" i="27"/>
  <c r="I45" i="27" s="1"/>
  <c r="H44" i="27"/>
  <c r="I44" i="27" s="1"/>
  <c r="M44" i="27" s="1"/>
  <c r="H43" i="27"/>
  <c r="I43" i="27" s="1"/>
  <c r="M43" i="27" s="1"/>
  <c r="H42" i="27"/>
  <c r="I42" i="27" s="1"/>
  <c r="H41" i="27"/>
  <c r="I41" i="27" s="1"/>
  <c r="K41" i="27" s="1"/>
  <c r="H40" i="27"/>
  <c r="I40" i="27" s="1"/>
  <c r="H39" i="27"/>
  <c r="I39" i="27" s="1"/>
  <c r="H38" i="27"/>
  <c r="I38" i="27" s="1"/>
  <c r="H37" i="27"/>
  <c r="I37" i="27" s="1"/>
  <c r="H36" i="27"/>
  <c r="I36" i="27" s="1"/>
  <c r="H35" i="27"/>
  <c r="I35" i="27" s="1"/>
  <c r="H34" i="27"/>
  <c r="I34" i="27" s="1"/>
  <c r="H33" i="27"/>
  <c r="I33" i="27" s="1"/>
  <c r="H32" i="27"/>
  <c r="I32" i="27" s="1"/>
  <c r="J32" i="27" s="1"/>
  <c r="H31" i="27"/>
  <c r="I31" i="27" s="1"/>
  <c r="M31" i="27" s="1"/>
  <c r="H30" i="27"/>
  <c r="I30" i="27" s="1"/>
  <c r="H29" i="27"/>
  <c r="I29" i="27" s="1"/>
  <c r="H28" i="27"/>
  <c r="I28" i="27" s="1"/>
  <c r="J28" i="27" s="1"/>
  <c r="H27" i="27"/>
  <c r="I27" i="27" s="1"/>
  <c r="H26" i="27"/>
  <c r="I26" i="27" s="1"/>
  <c r="H25" i="27"/>
  <c r="I25" i="27" s="1"/>
  <c r="H24" i="27"/>
  <c r="I24" i="27" s="1"/>
  <c r="H23" i="27"/>
  <c r="I23" i="27" s="1"/>
  <c r="M23" i="27" s="1"/>
  <c r="H22" i="27"/>
  <c r="I22" i="27" s="1"/>
  <c r="H21" i="27"/>
  <c r="I21" i="27" s="1"/>
  <c r="H20" i="27"/>
  <c r="I20" i="27" s="1"/>
  <c r="H19" i="27"/>
  <c r="I19" i="27" s="1"/>
  <c r="H18" i="27"/>
  <c r="I18" i="27" s="1"/>
  <c r="H17" i="27"/>
  <c r="I17" i="27" s="1"/>
  <c r="H16" i="27"/>
  <c r="I16" i="27" s="1"/>
  <c r="J16" i="27" s="1"/>
  <c r="H15" i="27"/>
  <c r="I15" i="27" s="1"/>
  <c r="J15" i="27" s="1"/>
  <c r="H14" i="27"/>
  <c r="I14" i="27" s="1"/>
  <c r="H13" i="27"/>
  <c r="I13" i="27" s="1"/>
  <c r="L13" i="27" s="1"/>
  <c r="H12" i="27"/>
  <c r="I12" i="27" s="1"/>
  <c r="N12" i="27" s="1"/>
  <c r="A12" i="27"/>
  <c r="F10" i="27"/>
  <c r="H7" i="27"/>
  <c r="I7" i="27" s="1"/>
  <c r="K7" i="27" s="1"/>
  <c r="K295" i="27" l="1"/>
  <c r="M310" i="27"/>
  <c r="M450" i="27"/>
  <c r="N471" i="27"/>
  <c r="L461" i="27"/>
  <c r="N459" i="27"/>
  <c r="J211" i="27"/>
  <c r="K220" i="27"/>
  <c r="K226" i="27"/>
  <c r="K227" i="27"/>
  <c r="K258" i="27"/>
  <c r="L260" i="27"/>
  <c r="M261" i="27"/>
  <c r="K459" i="27"/>
  <c r="J461" i="27"/>
  <c r="L471" i="27"/>
  <c r="M493" i="27"/>
  <c r="N162" i="27"/>
  <c r="M226" i="27"/>
  <c r="N258" i="27"/>
  <c r="M260" i="27"/>
  <c r="J227" i="27"/>
  <c r="J261" i="27"/>
  <c r="J294" i="27"/>
  <c r="L418" i="27"/>
  <c r="F508" i="27"/>
  <c r="J235" i="27"/>
  <c r="K294" i="27"/>
  <c r="L304" i="27"/>
  <c r="M305" i="27"/>
  <c r="K417" i="27"/>
  <c r="N418" i="27"/>
  <c r="L159" i="27"/>
  <c r="L305" i="27"/>
  <c r="K235" i="27"/>
  <c r="N417" i="27"/>
  <c r="K13" i="27"/>
  <c r="K257" i="27"/>
  <c r="K303" i="27"/>
  <c r="M346" i="27"/>
  <c r="K440" i="27"/>
  <c r="L442" i="27"/>
  <c r="M470" i="27"/>
  <c r="J491" i="27"/>
  <c r="K78" i="27"/>
  <c r="K159" i="27"/>
  <c r="M419" i="27"/>
  <c r="N491" i="27"/>
  <c r="J78" i="27"/>
  <c r="J159" i="27"/>
  <c r="N170" i="27"/>
  <c r="L227" i="27"/>
  <c r="L235" i="27"/>
  <c r="L251" i="27"/>
  <c r="M257" i="27"/>
  <c r="L271" i="27"/>
  <c r="L297" i="27"/>
  <c r="N303" i="27"/>
  <c r="M306" i="27"/>
  <c r="M336" i="27"/>
  <c r="L419" i="27"/>
  <c r="L440" i="27"/>
  <c r="N470" i="27"/>
  <c r="L324" i="27"/>
  <c r="K324" i="27"/>
  <c r="L284" i="27"/>
  <c r="K284" i="27"/>
  <c r="M60" i="27"/>
  <c r="J60" i="27"/>
  <c r="N237" i="27"/>
  <c r="M237" i="27"/>
  <c r="N283" i="27"/>
  <c r="L283" i="27"/>
  <c r="K283" i="27"/>
  <c r="K401" i="27"/>
  <c r="N401" i="27"/>
  <c r="N409" i="27"/>
  <c r="K409" i="27"/>
  <c r="M411" i="27"/>
  <c r="L411" i="27"/>
  <c r="K12" i="27"/>
  <c r="K228" i="27"/>
  <c r="L237" i="27"/>
  <c r="L316" i="27"/>
  <c r="J409" i="27"/>
  <c r="K411" i="27"/>
  <c r="N432" i="27"/>
  <c r="M432" i="27"/>
  <c r="K480" i="27"/>
  <c r="L490" i="27"/>
  <c r="J490" i="27"/>
  <c r="K490" i="27"/>
  <c r="J44" i="27"/>
  <c r="K102" i="27"/>
  <c r="M197" i="27"/>
  <c r="M250" i="27"/>
  <c r="K350" i="27"/>
  <c r="L385" i="27"/>
  <c r="N385" i="27"/>
  <c r="K385" i="27"/>
  <c r="N410" i="27"/>
  <c r="L410" i="27"/>
  <c r="K432" i="27"/>
  <c r="M439" i="27"/>
  <c r="K458" i="27"/>
  <c r="M458" i="27"/>
  <c r="N205" i="27"/>
  <c r="L205" i="27"/>
  <c r="K335" i="27"/>
  <c r="N335" i="27"/>
  <c r="M28" i="27"/>
  <c r="K28" i="27"/>
  <c r="K60" i="27"/>
  <c r="J102" i="27"/>
  <c r="M118" i="27"/>
  <c r="K118" i="27"/>
  <c r="N242" i="27"/>
  <c r="M242" i="27"/>
  <c r="J335" i="27"/>
  <c r="N354" i="27"/>
  <c r="N371" i="27"/>
  <c r="M371" i="27"/>
  <c r="J401" i="27"/>
  <c r="M414" i="27"/>
  <c r="L414" i="27"/>
  <c r="K414" i="27"/>
  <c r="J118" i="27"/>
  <c r="L155" i="27"/>
  <c r="J155" i="27"/>
  <c r="K219" i="27"/>
  <c r="K236" i="27"/>
  <c r="K242" i="27"/>
  <c r="L259" i="27"/>
  <c r="N15" i="27"/>
  <c r="M15" i="27"/>
  <c r="K44" i="27"/>
  <c r="K155" i="27"/>
  <c r="M204" i="27"/>
  <c r="N210" i="27"/>
  <c r="M210" i="27"/>
  <c r="N229" i="27"/>
  <c r="M229" i="27"/>
  <c r="M234" i="27"/>
  <c r="N234" i="27"/>
  <c r="N250" i="27"/>
  <c r="M302" i="27"/>
  <c r="J345" i="27"/>
  <c r="M383" i="27"/>
  <c r="L383" i="27"/>
  <c r="J410" i="27"/>
  <c r="K426" i="27"/>
  <c r="N426" i="27"/>
  <c r="L431" i="27"/>
  <c r="N447" i="27"/>
  <c r="M447" i="27"/>
  <c r="K482" i="27"/>
  <c r="J482" i="27"/>
  <c r="K498" i="27"/>
  <c r="M498" i="27"/>
  <c r="K467" i="27"/>
  <c r="M481" i="27"/>
  <c r="M489" i="27"/>
  <c r="J257" i="27"/>
  <c r="J271" i="27"/>
  <c r="J295" i="27"/>
  <c r="J297" i="27"/>
  <c r="J306" i="27"/>
  <c r="M362" i="27"/>
  <c r="J440" i="27"/>
  <c r="L493" i="27"/>
  <c r="K495" i="27"/>
  <c r="M52" i="27"/>
  <c r="K52" i="27"/>
  <c r="J52" i="27"/>
  <c r="N52" i="27"/>
  <c r="N173" i="27"/>
  <c r="M173" i="27"/>
  <c r="K173" i="27"/>
  <c r="M36" i="27"/>
  <c r="K36" i="27"/>
  <c r="J36" i="27"/>
  <c r="N36" i="27"/>
  <c r="L133" i="27"/>
  <c r="K133" i="27"/>
  <c r="J133" i="27"/>
  <c r="N165" i="27"/>
  <c r="M165" i="27"/>
  <c r="K165" i="27"/>
  <c r="M20" i="27"/>
  <c r="K20" i="27"/>
  <c r="J20" i="27"/>
  <c r="N20" i="27"/>
  <c r="M82" i="27"/>
  <c r="K82" i="27"/>
  <c r="J82" i="27"/>
  <c r="N82" i="27"/>
  <c r="M68" i="27"/>
  <c r="K68" i="27"/>
  <c r="J68" i="27"/>
  <c r="N68" i="27"/>
  <c r="M24" i="27"/>
  <c r="J24" i="27"/>
  <c r="M40" i="27"/>
  <c r="J40" i="27"/>
  <c r="M56" i="27"/>
  <c r="J56" i="27"/>
  <c r="M75" i="27"/>
  <c r="K75" i="27"/>
  <c r="J75" i="27"/>
  <c r="M94" i="27"/>
  <c r="K94" i="27"/>
  <c r="J94" i="27"/>
  <c r="M110" i="27"/>
  <c r="K110" i="27"/>
  <c r="J110" i="27"/>
  <c r="M126" i="27"/>
  <c r="K126" i="27"/>
  <c r="J126" i="27"/>
  <c r="L142" i="27"/>
  <c r="K142" i="27"/>
  <c r="L148" i="27"/>
  <c r="K148" i="27"/>
  <c r="J148" i="27"/>
  <c r="N164" i="27"/>
  <c r="L164" i="27"/>
  <c r="M166" i="27"/>
  <c r="L166" i="27"/>
  <c r="K166" i="27"/>
  <c r="N172" i="27"/>
  <c r="L172" i="27"/>
  <c r="M174" i="27"/>
  <c r="L174" i="27"/>
  <c r="K174" i="27"/>
  <c r="M182" i="27"/>
  <c r="L182" i="27"/>
  <c r="J182" i="27"/>
  <c r="K182" i="27"/>
  <c r="J185" i="27"/>
  <c r="N185" i="27"/>
  <c r="M244" i="27"/>
  <c r="K244" i="27"/>
  <c r="J267" i="27"/>
  <c r="N267" i="27"/>
  <c r="L267" i="27"/>
  <c r="N282" i="27"/>
  <c r="J282" i="27"/>
  <c r="M282" i="27"/>
  <c r="L286" i="27"/>
  <c r="K286" i="27"/>
  <c r="M286" i="27"/>
  <c r="J286" i="27"/>
  <c r="L372" i="27"/>
  <c r="K372" i="27"/>
  <c r="J372" i="27"/>
  <c r="M372" i="27"/>
  <c r="K24" i="27"/>
  <c r="K40" i="27"/>
  <c r="K56" i="27"/>
  <c r="N75" i="27"/>
  <c r="M90" i="27"/>
  <c r="N90" i="27"/>
  <c r="K90" i="27"/>
  <c r="N94" i="27"/>
  <c r="M106" i="27"/>
  <c r="N106" i="27"/>
  <c r="K106" i="27"/>
  <c r="N110" i="27"/>
  <c r="M122" i="27"/>
  <c r="N122" i="27"/>
  <c r="K122" i="27"/>
  <c r="N126" i="27"/>
  <c r="J142" i="27"/>
  <c r="M148" i="27"/>
  <c r="J164" i="27"/>
  <c r="J166" i="27"/>
  <c r="J172" i="27"/>
  <c r="J174" i="27"/>
  <c r="J177" i="27"/>
  <c r="N177" i="27"/>
  <c r="N188" i="27"/>
  <c r="J188" i="27"/>
  <c r="L188" i="27"/>
  <c r="K292" i="27"/>
  <c r="L292" i="27"/>
  <c r="N307" i="27"/>
  <c r="K307" i="27"/>
  <c r="L307" i="27"/>
  <c r="M314" i="27"/>
  <c r="J314" i="27"/>
  <c r="N314" i="27"/>
  <c r="L318" i="27"/>
  <c r="J318" i="27"/>
  <c r="K318" i="27"/>
  <c r="M318" i="27"/>
  <c r="L342" i="27"/>
  <c r="K342" i="27"/>
  <c r="M342" i="27"/>
  <c r="J342" i="27"/>
  <c r="L358" i="27"/>
  <c r="J358" i="27"/>
  <c r="K358" i="27"/>
  <c r="M358" i="27"/>
  <c r="L366" i="27"/>
  <c r="M366" i="27"/>
  <c r="K366" i="27"/>
  <c r="J366" i="27"/>
  <c r="L403" i="27"/>
  <c r="M403" i="27"/>
  <c r="K403" i="27"/>
  <c r="N479" i="27"/>
  <c r="L479" i="27"/>
  <c r="N24" i="27"/>
  <c r="N40" i="27"/>
  <c r="N56" i="27"/>
  <c r="J90" i="27"/>
  <c r="M98" i="27"/>
  <c r="J98" i="27"/>
  <c r="J106" i="27"/>
  <c r="M114" i="27"/>
  <c r="J114" i="27"/>
  <c r="J122" i="27"/>
  <c r="M130" i="27"/>
  <c r="K130" i="27"/>
  <c r="J130" i="27"/>
  <c r="M149" i="27"/>
  <c r="K149" i="27"/>
  <c r="J149" i="27"/>
  <c r="N180" i="27"/>
  <c r="J180" i="27"/>
  <c r="L180" i="27"/>
  <c r="N189" i="27"/>
  <c r="M189" i="27"/>
  <c r="K189" i="27"/>
  <c r="K196" i="27"/>
  <c r="L196" i="27"/>
  <c r="J196" i="27"/>
  <c r="L201" i="27"/>
  <c r="J201" i="27"/>
  <c r="K201" i="27"/>
  <c r="M212" i="27"/>
  <c r="K212" i="27"/>
  <c r="N245" i="27"/>
  <c r="M245" i="27"/>
  <c r="L245" i="27"/>
  <c r="N253" i="27"/>
  <c r="M253" i="27"/>
  <c r="L253" i="27"/>
  <c r="L315" i="27"/>
  <c r="N315" i="27"/>
  <c r="K315" i="27"/>
  <c r="J353" i="27"/>
  <c r="L353" i="27"/>
  <c r="M12" i="27"/>
  <c r="J12" i="27"/>
  <c r="M16" i="27"/>
  <c r="N16" i="27"/>
  <c r="K16" i="27"/>
  <c r="M32" i="27"/>
  <c r="N32" i="27"/>
  <c r="K32" i="27"/>
  <c r="M48" i="27"/>
  <c r="N48" i="27"/>
  <c r="K48" i="27"/>
  <c r="M64" i="27"/>
  <c r="N64" i="27"/>
  <c r="K64" i="27"/>
  <c r="K98" i="27"/>
  <c r="K114" i="27"/>
  <c r="L130" i="27"/>
  <c r="N181" i="27"/>
  <c r="M181" i="27"/>
  <c r="K181" i="27"/>
  <c r="M190" i="27"/>
  <c r="L190" i="27"/>
  <c r="K190" i="27"/>
  <c r="J190" i="27"/>
  <c r="N213" i="27"/>
  <c r="M213" i="27"/>
  <c r="L213" i="27"/>
  <c r="K218" i="27"/>
  <c r="M218" i="27"/>
  <c r="N218" i="27"/>
  <c r="N285" i="27"/>
  <c r="M285" i="27"/>
  <c r="J285" i="27"/>
  <c r="N338" i="27"/>
  <c r="J338" i="27"/>
  <c r="M338" i="27"/>
  <c r="J425" i="27"/>
  <c r="N425" i="27"/>
  <c r="M425" i="27"/>
  <c r="M198" i="27"/>
  <c r="L198" i="27"/>
  <c r="M243" i="27"/>
  <c r="L243" i="27"/>
  <c r="L334" i="27"/>
  <c r="K334" i="27"/>
  <c r="M347" i="27"/>
  <c r="K347" i="27"/>
  <c r="M448" i="27"/>
  <c r="L448" i="27"/>
  <c r="J448" i="27"/>
  <c r="L474" i="27"/>
  <c r="J474" i="27"/>
  <c r="M474" i="27"/>
  <c r="N28" i="27"/>
  <c r="N44" i="27"/>
  <c r="N60" i="27"/>
  <c r="N78" i="27"/>
  <c r="N102" i="27"/>
  <c r="N118" i="27"/>
  <c r="M155" i="27"/>
  <c r="M179" i="27"/>
  <c r="M187" i="27"/>
  <c r="L195" i="27"/>
  <c r="J198" i="27"/>
  <c r="M211" i="27"/>
  <c r="L211" i="27"/>
  <c r="L221" i="27"/>
  <c r="K234" i="27"/>
  <c r="J243" i="27"/>
  <c r="M251" i="27"/>
  <c r="J251" i="27"/>
  <c r="K252" i="27"/>
  <c r="M294" i="27"/>
  <c r="J302" i="27"/>
  <c r="L310" i="27"/>
  <c r="K310" i="27"/>
  <c r="N317" i="27"/>
  <c r="J317" i="27"/>
  <c r="J334" i="27"/>
  <c r="L347" i="27"/>
  <c r="L350" i="27"/>
  <c r="J350" i="27"/>
  <c r="J361" i="27"/>
  <c r="K373" i="27"/>
  <c r="N373" i="27"/>
  <c r="M375" i="27"/>
  <c r="J375" i="27"/>
  <c r="K381" i="27"/>
  <c r="J384" i="27"/>
  <c r="L402" i="27"/>
  <c r="J402" i="27"/>
  <c r="M433" i="27"/>
  <c r="L433" i="27"/>
  <c r="J433" i="27"/>
  <c r="K448" i="27"/>
  <c r="L458" i="27"/>
  <c r="J458" i="27"/>
  <c r="L466" i="27"/>
  <c r="M466" i="27"/>
  <c r="K466" i="27"/>
  <c r="J466" i="27"/>
  <c r="K474" i="27"/>
  <c r="L326" i="27"/>
  <c r="K326" i="27"/>
  <c r="L337" i="27"/>
  <c r="M337" i="27"/>
  <c r="M355" i="27"/>
  <c r="L355" i="27"/>
  <c r="K355" i="27"/>
  <c r="M363" i="27"/>
  <c r="L363" i="27"/>
  <c r="M398" i="27"/>
  <c r="K398" i="27"/>
  <c r="K198" i="27"/>
  <c r="M219" i="27"/>
  <c r="J219" i="27"/>
  <c r="M221" i="27"/>
  <c r="K243" i="27"/>
  <c r="K302" i="27"/>
  <c r="M326" i="27"/>
  <c r="M334" i="27"/>
  <c r="L380" i="27"/>
  <c r="M380" i="27"/>
  <c r="K380" i="27"/>
  <c r="N384" i="27"/>
  <c r="L398" i="27"/>
  <c r="M406" i="27"/>
  <c r="J406" i="27"/>
  <c r="L406" i="27"/>
  <c r="K483" i="27"/>
  <c r="J483" i="27"/>
  <c r="N327" i="27"/>
  <c r="K327" i="27"/>
  <c r="M329" i="27"/>
  <c r="J329" i="27"/>
  <c r="N339" i="27"/>
  <c r="L339" i="27"/>
  <c r="L482" i="27"/>
  <c r="M482" i="27"/>
  <c r="M490" i="27"/>
  <c r="L498" i="27"/>
  <c r="J498" i="27"/>
  <c r="K14" i="27"/>
  <c r="N14" i="27"/>
  <c r="J14" i="27"/>
  <c r="M14" i="27"/>
  <c r="L14" i="27"/>
  <c r="F528" i="27"/>
  <c r="F530" i="27"/>
  <c r="N17" i="27"/>
  <c r="J17" i="27"/>
  <c r="M17" i="27"/>
  <c r="L17" i="27"/>
  <c r="N21" i="27"/>
  <c r="J21" i="27"/>
  <c r="M21" i="27"/>
  <c r="L21" i="27"/>
  <c r="N25" i="27"/>
  <c r="J25" i="27"/>
  <c r="L25" i="27"/>
  <c r="M25" i="27"/>
  <c r="N29" i="27"/>
  <c r="J29" i="27"/>
  <c r="M29" i="27"/>
  <c r="L29" i="27"/>
  <c r="N33" i="27"/>
  <c r="J33" i="27"/>
  <c r="M33" i="27"/>
  <c r="L33" i="27"/>
  <c r="N37" i="27"/>
  <c r="J37" i="27"/>
  <c r="L37" i="27"/>
  <c r="M37" i="27"/>
  <c r="N69" i="27"/>
  <c r="J69" i="27"/>
  <c r="L69" i="27"/>
  <c r="M69" i="27"/>
  <c r="N87" i="27"/>
  <c r="J87" i="27"/>
  <c r="M87" i="27"/>
  <c r="L87" i="27"/>
  <c r="N91" i="27"/>
  <c r="J91" i="27"/>
  <c r="L91" i="27"/>
  <c r="M91" i="27"/>
  <c r="N95" i="27"/>
  <c r="J95" i="27"/>
  <c r="M95" i="27"/>
  <c r="L95" i="27"/>
  <c r="N107" i="27"/>
  <c r="J107" i="27"/>
  <c r="M107" i="27"/>
  <c r="L107" i="27"/>
  <c r="N111" i="27"/>
  <c r="J111" i="27"/>
  <c r="L111" i="27"/>
  <c r="M111" i="27"/>
  <c r="N115" i="27"/>
  <c r="J115" i="27"/>
  <c r="L115" i="27"/>
  <c r="M115" i="27"/>
  <c r="N119" i="27"/>
  <c r="J119" i="27"/>
  <c r="L119" i="27"/>
  <c r="M119" i="27"/>
  <c r="N123" i="27"/>
  <c r="J123" i="27"/>
  <c r="L123" i="27"/>
  <c r="M123" i="27"/>
  <c r="N127" i="27"/>
  <c r="J127" i="27"/>
  <c r="M127" i="27"/>
  <c r="L127" i="27"/>
  <c r="M194" i="27"/>
  <c r="L194" i="27"/>
  <c r="K194" i="27"/>
  <c r="N194" i="27"/>
  <c r="J194" i="27"/>
  <c r="L206" i="27"/>
  <c r="M206" i="27"/>
  <c r="N206" i="27"/>
  <c r="K206" i="27"/>
  <c r="J206" i="27"/>
  <c r="L238" i="27"/>
  <c r="M238" i="27"/>
  <c r="N238" i="27"/>
  <c r="K238" i="27"/>
  <c r="J238" i="27"/>
  <c r="K341" i="27"/>
  <c r="L341" i="27"/>
  <c r="N341" i="27"/>
  <c r="M341" i="27"/>
  <c r="J341" i="27"/>
  <c r="K400" i="27"/>
  <c r="J400" i="27"/>
  <c r="L400" i="27"/>
  <c r="N400" i="27"/>
  <c r="M400" i="27"/>
  <c r="L19" i="27"/>
  <c r="N19" i="27"/>
  <c r="K19" i="27"/>
  <c r="J19" i="27"/>
  <c r="K21" i="27"/>
  <c r="L27" i="27"/>
  <c r="N27" i="27"/>
  <c r="K27" i="27"/>
  <c r="J27" i="27"/>
  <c r="K29" i="27"/>
  <c r="L35" i="27"/>
  <c r="J35" i="27"/>
  <c r="K35" i="27"/>
  <c r="N35" i="27"/>
  <c r="K37" i="27"/>
  <c r="L39" i="27"/>
  <c r="N39" i="27"/>
  <c r="K39" i="27"/>
  <c r="J39" i="27"/>
  <c r="L47" i="27"/>
  <c r="J47" i="27"/>
  <c r="K47" i="27"/>
  <c r="N47" i="27"/>
  <c r="L51" i="27"/>
  <c r="N51" i="27"/>
  <c r="K51" i="27"/>
  <c r="J51" i="27"/>
  <c r="L59" i="27"/>
  <c r="N59" i="27"/>
  <c r="K59" i="27"/>
  <c r="J59" i="27"/>
  <c r="K69" i="27"/>
  <c r="N79" i="27"/>
  <c r="J79" i="27"/>
  <c r="L79" i="27"/>
  <c r="M79" i="27"/>
  <c r="N83" i="27"/>
  <c r="J83" i="27"/>
  <c r="M83" i="27"/>
  <c r="L83" i="27"/>
  <c r="L89" i="27"/>
  <c r="J89" i="27"/>
  <c r="K89" i="27"/>
  <c r="N89" i="27"/>
  <c r="K91" i="27"/>
  <c r="L93" i="27"/>
  <c r="N93" i="27"/>
  <c r="K93" i="27"/>
  <c r="J93" i="27"/>
  <c r="K95" i="27"/>
  <c r="L101" i="27"/>
  <c r="J101" i="27"/>
  <c r="K101" i="27"/>
  <c r="N101" i="27"/>
  <c r="L109" i="27"/>
  <c r="J109" i="27"/>
  <c r="K109" i="27"/>
  <c r="N109" i="27"/>
  <c r="K111" i="27"/>
  <c r="L121" i="27"/>
  <c r="K121" i="27"/>
  <c r="N121" i="27"/>
  <c r="J121" i="27"/>
  <c r="K123" i="27"/>
  <c r="K127" i="27"/>
  <c r="K132" i="27"/>
  <c r="L132" i="27"/>
  <c r="J132" i="27"/>
  <c r="N132" i="27"/>
  <c r="N135" i="27"/>
  <c r="K135" i="27"/>
  <c r="M135" i="27"/>
  <c r="N150" i="27"/>
  <c r="J150" i="27"/>
  <c r="L150" i="27"/>
  <c r="K150" i="27"/>
  <c r="K168" i="27"/>
  <c r="J168" i="27"/>
  <c r="N168" i="27"/>
  <c r="L168" i="27"/>
  <c r="M168" i="27"/>
  <c r="K176" i="27"/>
  <c r="J176" i="27"/>
  <c r="N176" i="27"/>
  <c r="M176" i="27"/>
  <c r="L176" i="27"/>
  <c r="K192" i="27"/>
  <c r="J192" i="27"/>
  <c r="N192" i="27"/>
  <c r="M192" i="27"/>
  <c r="L192" i="27"/>
  <c r="M223" i="27"/>
  <c r="K223" i="27"/>
  <c r="N223" i="27"/>
  <c r="L223" i="27"/>
  <c r="J223" i="27"/>
  <c r="K301" i="27"/>
  <c r="L301" i="27"/>
  <c r="M301" i="27"/>
  <c r="J301" i="27"/>
  <c r="N301" i="27"/>
  <c r="L397" i="27"/>
  <c r="J397" i="27"/>
  <c r="M397" i="27"/>
  <c r="K397" i="27"/>
  <c r="N397" i="27"/>
  <c r="K18" i="27"/>
  <c r="M18" i="27"/>
  <c r="N18" i="27"/>
  <c r="J18" i="27"/>
  <c r="M19" i="27"/>
  <c r="K22" i="27"/>
  <c r="N22" i="27"/>
  <c r="J22" i="27"/>
  <c r="M22" i="27"/>
  <c r="K26" i="27"/>
  <c r="M26" i="27"/>
  <c r="N26" i="27"/>
  <c r="J26" i="27"/>
  <c r="M27" i="27"/>
  <c r="K30" i="27"/>
  <c r="N30" i="27"/>
  <c r="J30" i="27"/>
  <c r="M30" i="27"/>
  <c r="K34" i="27"/>
  <c r="N34" i="27"/>
  <c r="J34" i="27"/>
  <c r="M34" i="27"/>
  <c r="M35" i="27"/>
  <c r="K38" i="27"/>
  <c r="M38" i="27"/>
  <c r="N38" i="27"/>
  <c r="J38" i="27"/>
  <c r="M39" i="27"/>
  <c r="K42" i="27"/>
  <c r="N42" i="27"/>
  <c r="J42" i="27"/>
  <c r="M42" i="27"/>
  <c r="K46" i="27"/>
  <c r="N46" i="27"/>
  <c r="J46" i="27"/>
  <c r="M46" i="27"/>
  <c r="M47" i="27"/>
  <c r="K50" i="27"/>
  <c r="M50" i="27"/>
  <c r="N50" i="27"/>
  <c r="J50" i="27"/>
  <c r="M51" i="27"/>
  <c r="K54" i="27"/>
  <c r="N54" i="27"/>
  <c r="J54" i="27"/>
  <c r="M54" i="27"/>
  <c r="K58" i="27"/>
  <c r="M58" i="27"/>
  <c r="N58" i="27"/>
  <c r="J58" i="27"/>
  <c r="M59" i="27"/>
  <c r="K62" i="27"/>
  <c r="N62" i="27"/>
  <c r="J62" i="27"/>
  <c r="M62" i="27"/>
  <c r="K66" i="27"/>
  <c r="M66" i="27"/>
  <c r="N66" i="27"/>
  <c r="J66" i="27"/>
  <c r="K70" i="27"/>
  <c r="M70" i="27"/>
  <c r="N70" i="27"/>
  <c r="J70" i="27"/>
  <c r="K79" i="27"/>
  <c r="L81" i="27"/>
  <c r="N81" i="27"/>
  <c r="K81" i="27"/>
  <c r="J81" i="27"/>
  <c r="K83" i="27"/>
  <c r="K88" i="27"/>
  <c r="N88" i="27"/>
  <c r="J88" i="27"/>
  <c r="M88" i="27"/>
  <c r="M89" i="27"/>
  <c r="K92" i="27"/>
  <c r="M92" i="27"/>
  <c r="N92" i="27"/>
  <c r="J92" i="27"/>
  <c r="M93" i="27"/>
  <c r="K96" i="27"/>
  <c r="N96" i="27"/>
  <c r="J96" i="27"/>
  <c r="M96" i="27"/>
  <c r="K100" i="27"/>
  <c r="N100" i="27"/>
  <c r="J100" i="27"/>
  <c r="M100" i="27"/>
  <c r="M101" i="27"/>
  <c r="K104" i="27"/>
  <c r="M104" i="27"/>
  <c r="N104" i="27"/>
  <c r="J104" i="27"/>
  <c r="K108" i="27"/>
  <c r="N108" i="27"/>
  <c r="J108" i="27"/>
  <c r="M108" i="27"/>
  <c r="M109" i="27"/>
  <c r="K112" i="27"/>
  <c r="M112" i="27"/>
  <c r="N112" i="27"/>
  <c r="J112" i="27"/>
  <c r="K116" i="27"/>
  <c r="M116" i="27"/>
  <c r="N116" i="27"/>
  <c r="J116" i="27"/>
  <c r="K120" i="27"/>
  <c r="M120" i="27"/>
  <c r="N120" i="27"/>
  <c r="J120" i="27"/>
  <c r="M121" i="27"/>
  <c r="K124" i="27"/>
  <c r="M124" i="27"/>
  <c r="N124" i="27"/>
  <c r="J124" i="27"/>
  <c r="K128" i="27"/>
  <c r="N128" i="27"/>
  <c r="J128" i="27"/>
  <c r="M128" i="27"/>
  <c r="M132" i="27"/>
  <c r="L135" i="27"/>
  <c r="K141" i="27"/>
  <c r="L141" i="27"/>
  <c r="N141" i="27"/>
  <c r="J141" i="27"/>
  <c r="M150" i="27"/>
  <c r="K154" i="27"/>
  <c r="L154" i="27"/>
  <c r="M154" i="27"/>
  <c r="J154" i="27"/>
  <c r="N203" i="27"/>
  <c r="J203" i="27"/>
  <c r="K203" i="27"/>
  <c r="M203" i="27"/>
  <c r="L203" i="27"/>
  <c r="L290" i="27"/>
  <c r="K290" i="27"/>
  <c r="M290" i="27"/>
  <c r="J290" i="27"/>
  <c r="N290" i="27"/>
  <c r="M299" i="27"/>
  <c r="J299" i="27"/>
  <c r="N299" i="27"/>
  <c r="L299" i="27"/>
  <c r="K299" i="27"/>
  <c r="N312" i="27"/>
  <c r="J312" i="27"/>
  <c r="K312" i="27"/>
  <c r="L312" i="27"/>
  <c r="M312" i="27"/>
  <c r="K349" i="27"/>
  <c r="L349" i="27"/>
  <c r="J349" i="27"/>
  <c r="N349" i="27"/>
  <c r="M349" i="27"/>
  <c r="K416" i="27"/>
  <c r="J416" i="27"/>
  <c r="L416" i="27"/>
  <c r="N416" i="27"/>
  <c r="M416" i="27"/>
  <c r="K501" i="27"/>
  <c r="N501" i="27"/>
  <c r="J501" i="27"/>
  <c r="M501" i="27"/>
  <c r="L501" i="27"/>
  <c r="N41" i="27"/>
  <c r="J41" i="27"/>
  <c r="M41" i="27"/>
  <c r="L41" i="27"/>
  <c r="N45" i="27"/>
  <c r="J45" i="27"/>
  <c r="M45" i="27"/>
  <c r="L45" i="27"/>
  <c r="N49" i="27"/>
  <c r="J49" i="27"/>
  <c r="L49" i="27"/>
  <c r="M49" i="27"/>
  <c r="N53" i="27"/>
  <c r="J53" i="27"/>
  <c r="M53" i="27"/>
  <c r="L53" i="27"/>
  <c r="N57" i="27"/>
  <c r="J57" i="27"/>
  <c r="L57" i="27"/>
  <c r="M57" i="27"/>
  <c r="N61" i="27"/>
  <c r="J61" i="27"/>
  <c r="M61" i="27"/>
  <c r="L61" i="27"/>
  <c r="N65" i="27"/>
  <c r="J65" i="27"/>
  <c r="L65" i="27"/>
  <c r="M65" i="27"/>
  <c r="L74" i="27"/>
  <c r="K74" i="27"/>
  <c r="N74" i="27"/>
  <c r="J74" i="27"/>
  <c r="N99" i="27"/>
  <c r="J99" i="27"/>
  <c r="M99" i="27"/>
  <c r="L99" i="27"/>
  <c r="N103" i="27"/>
  <c r="J103" i="27"/>
  <c r="L103" i="27"/>
  <c r="M103" i="27"/>
  <c r="N131" i="27"/>
  <c r="J131" i="27"/>
  <c r="M131" i="27"/>
  <c r="K131" i="27"/>
  <c r="L131" i="27"/>
  <c r="N266" i="27"/>
  <c r="J266" i="27"/>
  <c r="L266" i="27"/>
  <c r="K266" i="27"/>
  <c r="M266" i="27"/>
  <c r="K333" i="27"/>
  <c r="L333" i="27"/>
  <c r="M333" i="27"/>
  <c r="J333" i="27"/>
  <c r="N333" i="27"/>
  <c r="N441" i="27"/>
  <c r="J441" i="27"/>
  <c r="L441" i="27"/>
  <c r="M441" i="27"/>
  <c r="K441" i="27"/>
  <c r="N7" i="27"/>
  <c r="J7" i="27"/>
  <c r="M7" i="27"/>
  <c r="K17" i="27"/>
  <c r="L23" i="27"/>
  <c r="J23" i="27"/>
  <c r="K23" i="27"/>
  <c r="N23" i="27"/>
  <c r="K25" i="27"/>
  <c r="L31" i="27"/>
  <c r="N31" i="27"/>
  <c r="J31" i="27"/>
  <c r="K31" i="27"/>
  <c r="K33" i="27"/>
  <c r="L43" i="27"/>
  <c r="N43" i="27"/>
  <c r="J43" i="27"/>
  <c r="K43" i="27"/>
  <c r="K45" i="27"/>
  <c r="L55" i="27"/>
  <c r="J55" i="27"/>
  <c r="K55" i="27"/>
  <c r="N55" i="27"/>
  <c r="K57" i="27"/>
  <c r="L63" i="27"/>
  <c r="J63" i="27"/>
  <c r="K63" i="27"/>
  <c r="N63" i="27"/>
  <c r="L67" i="27"/>
  <c r="K67" i="27"/>
  <c r="N67" i="27"/>
  <c r="J67" i="27"/>
  <c r="K87" i="27"/>
  <c r="L97" i="27"/>
  <c r="N97" i="27"/>
  <c r="J97" i="27"/>
  <c r="K97" i="27"/>
  <c r="K99" i="27"/>
  <c r="L105" i="27"/>
  <c r="N105" i="27"/>
  <c r="K105" i="27"/>
  <c r="J105" i="27"/>
  <c r="K107" i="27"/>
  <c r="L113" i="27"/>
  <c r="K113" i="27"/>
  <c r="N113" i="27"/>
  <c r="J113" i="27"/>
  <c r="K115" i="27"/>
  <c r="L117" i="27"/>
  <c r="N117" i="27"/>
  <c r="K117" i="27"/>
  <c r="J117" i="27"/>
  <c r="K119" i="27"/>
  <c r="L125" i="27"/>
  <c r="N125" i="27"/>
  <c r="K125" i="27"/>
  <c r="J125" i="27"/>
  <c r="L129" i="27"/>
  <c r="N129" i="27"/>
  <c r="J129" i="27"/>
  <c r="K129" i="27"/>
  <c r="N140" i="27"/>
  <c r="J140" i="27"/>
  <c r="M140" i="27"/>
  <c r="L140" i="27"/>
  <c r="K140" i="27"/>
  <c r="K184" i="27"/>
  <c r="J184" i="27"/>
  <c r="N184" i="27"/>
  <c r="M184" i="27"/>
  <c r="L184" i="27"/>
  <c r="K233" i="27"/>
  <c r="M233" i="27"/>
  <c r="L233" i="27"/>
  <c r="J233" i="27"/>
  <c r="N233" i="27"/>
  <c r="L264" i="27"/>
  <c r="M264" i="27"/>
  <c r="K264" i="27"/>
  <c r="J264" i="27"/>
  <c r="N264" i="27"/>
  <c r="K293" i="27"/>
  <c r="L293" i="27"/>
  <c r="J293" i="27"/>
  <c r="N293" i="27"/>
  <c r="M293" i="27"/>
  <c r="N320" i="27"/>
  <c r="J320" i="27"/>
  <c r="K320" i="27"/>
  <c r="M320" i="27"/>
  <c r="L320" i="27"/>
  <c r="K367" i="27"/>
  <c r="N367" i="27"/>
  <c r="M367" i="27"/>
  <c r="L367" i="27"/>
  <c r="J367" i="27"/>
  <c r="K420" i="27"/>
  <c r="M420" i="27"/>
  <c r="N420" i="27"/>
  <c r="L420" i="27"/>
  <c r="J420" i="27"/>
  <c r="L7" i="27"/>
  <c r="N13" i="27"/>
  <c r="J13" i="27"/>
  <c r="M13" i="27"/>
  <c r="L15" i="27"/>
  <c r="K15" i="27"/>
  <c r="L18" i="27"/>
  <c r="L22" i="27"/>
  <c r="L26" i="27"/>
  <c r="L30" i="27"/>
  <c r="L34" i="27"/>
  <c r="L38" i="27"/>
  <c r="L42" i="27"/>
  <c r="L46" i="27"/>
  <c r="L50" i="27"/>
  <c r="L54" i="27"/>
  <c r="L58" i="27"/>
  <c r="L62" i="27"/>
  <c r="L66" i="27"/>
  <c r="L70" i="27"/>
  <c r="K80" i="27"/>
  <c r="M80" i="27"/>
  <c r="N80" i="27"/>
  <c r="J80" i="27"/>
  <c r="M81" i="27"/>
  <c r="L88" i="27"/>
  <c r="L92" i="27"/>
  <c r="L96" i="27"/>
  <c r="L100" i="27"/>
  <c r="L104" i="27"/>
  <c r="L108" i="27"/>
  <c r="L112" i="27"/>
  <c r="L116" i="27"/>
  <c r="L120" i="27"/>
  <c r="L124" i="27"/>
  <c r="L128" i="27"/>
  <c r="M134" i="27"/>
  <c r="L134" i="27"/>
  <c r="J134" i="27"/>
  <c r="K134" i="27"/>
  <c r="M141" i="27"/>
  <c r="K151" i="27"/>
  <c r="J151" i="27"/>
  <c r="N151" i="27"/>
  <c r="M151" i="27"/>
  <c r="L158" i="27"/>
  <c r="J158" i="27"/>
  <c r="N158" i="27"/>
  <c r="K158" i="27"/>
  <c r="M158" i="27"/>
  <c r="N167" i="27"/>
  <c r="J167" i="27"/>
  <c r="L167" i="27"/>
  <c r="M167" i="27"/>
  <c r="K167" i="27"/>
  <c r="N175" i="27"/>
  <c r="J175" i="27"/>
  <c r="L175" i="27"/>
  <c r="M175" i="27"/>
  <c r="K175" i="27"/>
  <c r="N183" i="27"/>
  <c r="J183" i="27"/>
  <c r="L183" i="27"/>
  <c r="K183" i="27"/>
  <c r="M183" i="27"/>
  <c r="N191" i="27"/>
  <c r="J191" i="27"/>
  <c r="L191" i="27"/>
  <c r="M191" i="27"/>
  <c r="K191" i="27"/>
  <c r="K200" i="27"/>
  <c r="L200" i="27"/>
  <c r="J200" i="27"/>
  <c r="M200" i="27"/>
  <c r="N208" i="27"/>
  <c r="J208" i="27"/>
  <c r="M208" i="27"/>
  <c r="L208" i="27"/>
  <c r="K208" i="27"/>
  <c r="N240" i="27"/>
  <c r="J240" i="27"/>
  <c r="M240" i="27"/>
  <c r="L240" i="27"/>
  <c r="K240" i="27"/>
  <c r="L272" i="27"/>
  <c r="K272" i="27"/>
  <c r="N272" i="27"/>
  <c r="M272" i="27"/>
  <c r="J272" i="27"/>
  <c r="N288" i="27"/>
  <c r="J288" i="27"/>
  <c r="K288" i="27"/>
  <c r="M288" i="27"/>
  <c r="L288" i="27"/>
  <c r="N296" i="27"/>
  <c r="J296" i="27"/>
  <c r="K296" i="27"/>
  <c r="M296" i="27"/>
  <c r="L296" i="27"/>
  <c r="N308" i="27"/>
  <c r="J308" i="27"/>
  <c r="M308" i="27"/>
  <c r="L308" i="27"/>
  <c r="K308" i="27"/>
  <c r="N332" i="27"/>
  <c r="J332" i="27"/>
  <c r="M332" i="27"/>
  <c r="L332" i="27"/>
  <c r="K332" i="27"/>
  <c r="N344" i="27"/>
  <c r="J344" i="27"/>
  <c r="K344" i="27"/>
  <c r="M344" i="27"/>
  <c r="L344" i="27"/>
  <c r="K365" i="27"/>
  <c r="L365" i="27"/>
  <c r="J365" i="27"/>
  <c r="N365" i="27"/>
  <c r="M365" i="27"/>
  <c r="K404" i="27"/>
  <c r="M404" i="27"/>
  <c r="N404" i="27"/>
  <c r="L404" i="27"/>
  <c r="J404" i="27"/>
  <c r="L413" i="27"/>
  <c r="J413" i="27"/>
  <c r="M413" i="27"/>
  <c r="K413" i="27"/>
  <c r="N413" i="27"/>
  <c r="M444" i="27"/>
  <c r="K444" i="27"/>
  <c r="N444" i="27"/>
  <c r="L444" i="27"/>
  <c r="J444" i="27"/>
  <c r="M463" i="27"/>
  <c r="J463" i="27"/>
  <c r="N463" i="27"/>
  <c r="L463" i="27"/>
  <c r="K463" i="27"/>
  <c r="N163" i="27"/>
  <c r="J163" i="27"/>
  <c r="L169" i="27"/>
  <c r="M169" i="27"/>
  <c r="N171" i="27"/>
  <c r="J171" i="27"/>
  <c r="M178" i="27"/>
  <c r="K178" i="27"/>
  <c r="M186" i="27"/>
  <c r="K186" i="27"/>
  <c r="K225" i="27"/>
  <c r="M225" i="27"/>
  <c r="L225" i="27"/>
  <c r="J225" i="27"/>
  <c r="N232" i="27"/>
  <c r="J232" i="27"/>
  <c r="M232" i="27"/>
  <c r="L232" i="27"/>
  <c r="M247" i="27"/>
  <c r="K247" i="27"/>
  <c r="N247" i="27"/>
  <c r="L247" i="27"/>
  <c r="M279" i="27"/>
  <c r="L279" i="27"/>
  <c r="K279" i="27"/>
  <c r="J279" i="27"/>
  <c r="K289" i="27"/>
  <c r="N289" i="27"/>
  <c r="M289" i="27"/>
  <c r="L289" i="27"/>
  <c r="L322" i="27"/>
  <c r="K322" i="27"/>
  <c r="M322" i="27"/>
  <c r="J322" i="27"/>
  <c r="N328" i="27"/>
  <c r="J328" i="27"/>
  <c r="K328" i="27"/>
  <c r="M328" i="27"/>
  <c r="N340" i="27"/>
  <c r="J340" i="27"/>
  <c r="M340" i="27"/>
  <c r="L340" i="27"/>
  <c r="N378" i="27"/>
  <c r="J378" i="27"/>
  <c r="M378" i="27"/>
  <c r="L378" i="27"/>
  <c r="K378" i="27"/>
  <c r="K428" i="27"/>
  <c r="L428" i="27"/>
  <c r="N428" i="27"/>
  <c r="M428" i="27"/>
  <c r="N460" i="27"/>
  <c r="J460" i="27"/>
  <c r="K460" i="27"/>
  <c r="M460" i="27"/>
  <c r="L460" i="27"/>
  <c r="N488" i="27"/>
  <c r="J488" i="27"/>
  <c r="M488" i="27"/>
  <c r="K488" i="27"/>
  <c r="L488" i="27"/>
  <c r="L12" i="27"/>
  <c r="L16" i="27"/>
  <c r="L20" i="27"/>
  <c r="L24" i="27"/>
  <c r="L28" i="27"/>
  <c r="L32" i="27"/>
  <c r="L36" i="27"/>
  <c r="L40" i="27"/>
  <c r="L44" i="27"/>
  <c r="L48" i="27"/>
  <c r="L52" i="27"/>
  <c r="L56" i="27"/>
  <c r="L60" i="27"/>
  <c r="L64" i="27"/>
  <c r="L68" i="27"/>
  <c r="L75" i="27"/>
  <c r="L78" i="27"/>
  <c r="L82" i="27"/>
  <c r="L90" i="27"/>
  <c r="L94" i="27"/>
  <c r="L98" i="27"/>
  <c r="L102" i="27"/>
  <c r="L106" i="27"/>
  <c r="L110" i="27"/>
  <c r="L114" i="27"/>
  <c r="L118" i="27"/>
  <c r="L122" i="27"/>
  <c r="L126" i="27"/>
  <c r="N130" i="27"/>
  <c r="M133" i="27"/>
  <c r="M142" i="27"/>
  <c r="N148" i="27"/>
  <c r="L149" i="27"/>
  <c r="K163" i="27"/>
  <c r="K164" i="27"/>
  <c r="M164" i="27"/>
  <c r="J169" i="27"/>
  <c r="K171" i="27"/>
  <c r="K172" i="27"/>
  <c r="M172" i="27"/>
  <c r="J178" i="27"/>
  <c r="K180" i="27"/>
  <c r="M180" i="27"/>
  <c r="J186" i="27"/>
  <c r="K188" i="27"/>
  <c r="M188" i="27"/>
  <c r="M207" i="27"/>
  <c r="K207" i="27"/>
  <c r="N207" i="27"/>
  <c r="L207" i="27"/>
  <c r="K217" i="27"/>
  <c r="M217" i="27"/>
  <c r="L217" i="27"/>
  <c r="J217" i="27"/>
  <c r="L222" i="27"/>
  <c r="M222" i="27"/>
  <c r="N222" i="27"/>
  <c r="K222" i="27"/>
  <c r="N224" i="27"/>
  <c r="J224" i="27"/>
  <c r="M224" i="27"/>
  <c r="L224" i="27"/>
  <c r="N225" i="27"/>
  <c r="K232" i="27"/>
  <c r="M239" i="27"/>
  <c r="K239" i="27"/>
  <c r="N239" i="27"/>
  <c r="L239" i="27"/>
  <c r="J247" i="27"/>
  <c r="K249" i="27"/>
  <c r="M249" i="27"/>
  <c r="L249" i="27"/>
  <c r="J249" i="27"/>
  <c r="L254" i="27"/>
  <c r="M254" i="27"/>
  <c r="N254" i="27"/>
  <c r="K254" i="27"/>
  <c r="M265" i="27"/>
  <c r="K265" i="27"/>
  <c r="L265" i="27"/>
  <c r="J265" i="27"/>
  <c r="M273" i="27"/>
  <c r="J273" i="27"/>
  <c r="N273" i="27"/>
  <c r="L273" i="27"/>
  <c r="N279" i="27"/>
  <c r="J289" i="27"/>
  <c r="M291" i="27"/>
  <c r="J291" i="27"/>
  <c r="L291" i="27"/>
  <c r="K291" i="27"/>
  <c r="L298" i="27"/>
  <c r="K298" i="27"/>
  <c r="N298" i="27"/>
  <c r="M298" i="27"/>
  <c r="M311" i="27"/>
  <c r="L311" i="27"/>
  <c r="K311" i="27"/>
  <c r="J311" i="27"/>
  <c r="K313" i="27"/>
  <c r="N313" i="27"/>
  <c r="L313" i="27"/>
  <c r="J313" i="27"/>
  <c r="M319" i="27"/>
  <c r="L319" i="27"/>
  <c r="N319" i="27"/>
  <c r="K319" i="27"/>
  <c r="K321" i="27"/>
  <c r="N321" i="27"/>
  <c r="M321" i="27"/>
  <c r="L321" i="27"/>
  <c r="N322" i="27"/>
  <c r="L328" i="27"/>
  <c r="K340" i="27"/>
  <c r="M351" i="27"/>
  <c r="L351" i="27"/>
  <c r="K351" i="27"/>
  <c r="N351" i="27"/>
  <c r="J351" i="27"/>
  <c r="N360" i="27"/>
  <c r="J360" i="27"/>
  <c r="K360" i="27"/>
  <c r="M360" i="27"/>
  <c r="L368" i="27"/>
  <c r="K368" i="27"/>
  <c r="M368" i="27"/>
  <c r="J368" i="27"/>
  <c r="N374" i="27"/>
  <c r="J374" i="27"/>
  <c r="K374" i="27"/>
  <c r="M374" i="27"/>
  <c r="K379" i="27"/>
  <c r="L379" i="27"/>
  <c r="M379" i="27"/>
  <c r="J379" i="27"/>
  <c r="N379" i="27"/>
  <c r="M388" i="27"/>
  <c r="L388" i="27"/>
  <c r="N388" i="27"/>
  <c r="K388" i="27"/>
  <c r="K393" i="27"/>
  <c r="L393" i="27"/>
  <c r="J393" i="27"/>
  <c r="N393" i="27"/>
  <c r="K396" i="27"/>
  <c r="M396" i="27"/>
  <c r="N396" i="27"/>
  <c r="L396" i="27"/>
  <c r="J396" i="27"/>
  <c r="L405" i="27"/>
  <c r="J405" i="27"/>
  <c r="M405" i="27"/>
  <c r="K405" i="27"/>
  <c r="K408" i="27"/>
  <c r="J408" i="27"/>
  <c r="L408" i="27"/>
  <c r="N408" i="27"/>
  <c r="K412" i="27"/>
  <c r="M412" i="27"/>
  <c r="N412" i="27"/>
  <c r="L412" i="27"/>
  <c r="J412" i="27"/>
  <c r="L421" i="27"/>
  <c r="J421" i="27"/>
  <c r="M421" i="27"/>
  <c r="K421" i="27"/>
  <c r="J428" i="27"/>
  <c r="M436" i="27"/>
  <c r="K436" i="27"/>
  <c r="N436" i="27"/>
  <c r="L436" i="27"/>
  <c r="J436" i="27"/>
  <c r="N449" i="27"/>
  <c r="J449" i="27"/>
  <c r="L449" i="27"/>
  <c r="M449" i="27"/>
  <c r="M455" i="27"/>
  <c r="J455" i="27"/>
  <c r="L455" i="27"/>
  <c r="N455" i="27"/>
  <c r="K455" i="27"/>
  <c r="K457" i="27"/>
  <c r="L457" i="27"/>
  <c r="J457" i="27"/>
  <c r="N457" i="27"/>
  <c r="M457" i="27"/>
  <c r="N484" i="27"/>
  <c r="J484" i="27"/>
  <c r="K484" i="27"/>
  <c r="M484" i="27"/>
  <c r="L484" i="27"/>
  <c r="M162" i="27"/>
  <c r="K162" i="27"/>
  <c r="M170" i="27"/>
  <c r="K170" i="27"/>
  <c r="L177" i="27"/>
  <c r="M177" i="27"/>
  <c r="N179" i="27"/>
  <c r="J179" i="27"/>
  <c r="L185" i="27"/>
  <c r="M185" i="27"/>
  <c r="N187" i="27"/>
  <c r="J187" i="27"/>
  <c r="L193" i="27"/>
  <c r="N193" i="27"/>
  <c r="M193" i="27"/>
  <c r="M202" i="27"/>
  <c r="L202" i="27"/>
  <c r="K202" i="27"/>
  <c r="M215" i="27"/>
  <c r="K215" i="27"/>
  <c r="N215" i="27"/>
  <c r="L215" i="27"/>
  <c r="L230" i="27"/>
  <c r="M230" i="27"/>
  <c r="N230" i="27"/>
  <c r="K230" i="27"/>
  <c r="K281" i="27"/>
  <c r="N281" i="27"/>
  <c r="L281" i="27"/>
  <c r="J281" i="27"/>
  <c r="M287" i="27"/>
  <c r="L287" i="27"/>
  <c r="N287" i="27"/>
  <c r="K287" i="27"/>
  <c r="K325" i="27"/>
  <c r="L325" i="27"/>
  <c r="J325" i="27"/>
  <c r="M331" i="27"/>
  <c r="J331" i="27"/>
  <c r="N331" i="27"/>
  <c r="L331" i="27"/>
  <c r="M359" i="27"/>
  <c r="L359" i="27"/>
  <c r="K359" i="27"/>
  <c r="N359" i="27"/>
  <c r="J359" i="27"/>
  <c r="K465" i="27"/>
  <c r="L465" i="27"/>
  <c r="M465" i="27"/>
  <c r="N465" i="27"/>
  <c r="J465" i="27"/>
  <c r="L486" i="27"/>
  <c r="K486" i="27"/>
  <c r="M486" i="27"/>
  <c r="N486" i="27"/>
  <c r="J486" i="27"/>
  <c r="N133" i="27"/>
  <c r="N142" i="27"/>
  <c r="N149" i="27"/>
  <c r="L162" i="27"/>
  <c r="L163" i="27"/>
  <c r="L165" i="27"/>
  <c r="J165" i="27"/>
  <c r="K169" i="27"/>
  <c r="L170" i="27"/>
  <c r="L171" i="27"/>
  <c r="L173" i="27"/>
  <c r="J173" i="27"/>
  <c r="K177" i="27"/>
  <c r="L178" i="27"/>
  <c r="L179" i="27"/>
  <c r="L181" i="27"/>
  <c r="J181" i="27"/>
  <c r="K185" i="27"/>
  <c r="L186" i="27"/>
  <c r="L187" i="27"/>
  <c r="L189" i="27"/>
  <c r="J189" i="27"/>
  <c r="K193" i="27"/>
  <c r="N195" i="27"/>
  <c r="J195" i="27"/>
  <c r="K195" i="27"/>
  <c r="L197" i="27"/>
  <c r="K197" i="27"/>
  <c r="J197" i="27"/>
  <c r="N199" i="27"/>
  <c r="J199" i="27"/>
  <c r="M199" i="27"/>
  <c r="L199" i="27"/>
  <c r="N202" i="27"/>
  <c r="K209" i="27"/>
  <c r="M209" i="27"/>
  <c r="L209" i="27"/>
  <c r="J209" i="27"/>
  <c r="L214" i="27"/>
  <c r="M214" i="27"/>
  <c r="N214" i="27"/>
  <c r="K214" i="27"/>
  <c r="N216" i="27"/>
  <c r="J216" i="27"/>
  <c r="M216" i="27"/>
  <c r="L216" i="27"/>
  <c r="M231" i="27"/>
  <c r="K231" i="27"/>
  <c r="N231" i="27"/>
  <c r="L231" i="27"/>
  <c r="K241" i="27"/>
  <c r="M241" i="27"/>
  <c r="L241" i="27"/>
  <c r="J241" i="27"/>
  <c r="L246" i="27"/>
  <c r="M246" i="27"/>
  <c r="N246" i="27"/>
  <c r="K246" i="27"/>
  <c r="N248" i="27"/>
  <c r="J248" i="27"/>
  <c r="M248" i="27"/>
  <c r="L248" i="27"/>
  <c r="N280" i="27"/>
  <c r="J280" i="27"/>
  <c r="K280" i="27"/>
  <c r="L280" i="27"/>
  <c r="N300" i="27"/>
  <c r="J300" i="27"/>
  <c r="M300" i="27"/>
  <c r="L300" i="27"/>
  <c r="K300" i="27"/>
  <c r="K309" i="27"/>
  <c r="L309" i="27"/>
  <c r="N309" i="27"/>
  <c r="M309" i="27"/>
  <c r="M323" i="27"/>
  <c r="J323" i="27"/>
  <c r="L323" i="27"/>
  <c r="K323" i="27"/>
  <c r="N325" i="27"/>
  <c r="L330" i="27"/>
  <c r="K330" i="27"/>
  <c r="N330" i="27"/>
  <c r="M330" i="27"/>
  <c r="M343" i="27"/>
  <c r="L343" i="27"/>
  <c r="K343" i="27"/>
  <c r="N343" i="27"/>
  <c r="J343" i="27"/>
  <c r="N352" i="27"/>
  <c r="J352" i="27"/>
  <c r="K352" i="27"/>
  <c r="M352" i="27"/>
  <c r="K357" i="27"/>
  <c r="L357" i="27"/>
  <c r="J357" i="27"/>
  <c r="N357" i="27"/>
  <c r="M357" i="27"/>
  <c r="M377" i="27"/>
  <c r="J377" i="27"/>
  <c r="N377" i="27"/>
  <c r="L377" i="27"/>
  <c r="K377" i="27"/>
  <c r="N382" i="27"/>
  <c r="J382" i="27"/>
  <c r="K382" i="27"/>
  <c r="M382" i="27"/>
  <c r="N427" i="27"/>
  <c r="J427" i="27"/>
  <c r="M427" i="27"/>
  <c r="L427" i="27"/>
  <c r="K427" i="27"/>
  <c r="N476" i="27"/>
  <c r="J476" i="27"/>
  <c r="K476" i="27"/>
  <c r="L476" i="27"/>
  <c r="M476" i="27"/>
  <c r="L478" i="27"/>
  <c r="K478" i="27"/>
  <c r="J478" i="27"/>
  <c r="N478" i="27"/>
  <c r="M478" i="27"/>
  <c r="N492" i="27"/>
  <c r="J492" i="27"/>
  <c r="K492" i="27"/>
  <c r="M492" i="27"/>
  <c r="N500" i="27"/>
  <c r="J500" i="27"/>
  <c r="K500" i="27"/>
  <c r="M500" i="27"/>
  <c r="L500" i="27"/>
  <c r="K506" i="27"/>
  <c r="J506" i="27"/>
  <c r="N506" i="27"/>
  <c r="M506" i="27"/>
  <c r="L506" i="27"/>
  <c r="N155" i="27"/>
  <c r="E252" i="4" s="1"/>
  <c r="N159" i="27"/>
  <c r="N166" i="27"/>
  <c r="N174" i="27"/>
  <c r="N182" i="27"/>
  <c r="N190" i="27"/>
  <c r="M196" i="27"/>
  <c r="N198" i="27"/>
  <c r="M201" i="27"/>
  <c r="L210" i="27"/>
  <c r="J210" i="27"/>
  <c r="L218" i="27"/>
  <c r="J218" i="27"/>
  <c r="L226" i="27"/>
  <c r="J226" i="27"/>
  <c r="L234" i="27"/>
  <c r="J234" i="27"/>
  <c r="L242" i="27"/>
  <c r="J242" i="27"/>
  <c r="L250" i="27"/>
  <c r="J250" i="27"/>
  <c r="M258" i="27"/>
  <c r="L258" i="27"/>
  <c r="K260" i="27"/>
  <c r="N260" i="27"/>
  <c r="K267" i="27"/>
  <c r="M267" i="27"/>
  <c r="L282" i="27"/>
  <c r="K282" i="27"/>
  <c r="M283" i="27"/>
  <c r="J283" i="27"/>
  <c r="N292" i="27"/>
  <c r="J292" i="27"/>
  <c r="M292" i="27"/>
  <c r="M303" i="27"/>
  <c r="L303" i="27"/>
  <c r="K305" i="27"/>
  <c r="N305" i="27"/>
  <c r="L314" i="27"/>
  <c r="K314" i="27"/>
  <c r="M315" i="27"/>
  <c r="J315" i="27"/>
  <c r="N324" i="27"/>
  <c r="J324" i="27"/>
  <c r="M324" i="27"/>
  <c r="M335" i="27"/>
  <c r="L335" i="27"/>
  <c r="K337" i="27"/>
  <c r="N337" i="27"/>
  <c r="N348" i="27"/>
  <c r="J348" i="27"/>
  <c r="M348" i="27"/>
  <c r="L348" i="27"/>
  <c r="N356" i="27"/>
  <c r="J356" i="27"/>
  <c r="M356" i="27"/>
  <c r="L356" i="27"/>
  <c r="N364" i="27"/>
  <c r="J364" i="27"/>
  <c r="M364" i="27"/>
  <c r="L364" i="27"/>
  <c r="M369" i="27"/>
  <c r="J369" i="27"/>
  <c r="L369" i="27"/>
  <c r="K369" i="27"/>
  <c r="N399" i="27"/>
  <c r="J399" i="27"/>
  <c r="L399" i="27"/>
  <c r="K399" i="27"/>
  <c r="N407" i="27"/>
  <c r="J407" i="27"/>
  <c r="L407" i="27"/>
  <c r="K407" i="27"/>
  <c r="N415" i="27"/>
  <c r="J415" i="27"/>
  <c r="L415" i="27"/>
  <c r="K415" i="27"/>
  <c r="K438" i="27"/>
  <c r="M438" i="27"/>
  <c r="L438" i="27"/>
  <c r="J438" i="27"/>
  <c r="K446" i="27"/>
  <c r="M446" i="27"/>
  <c r="L446" i="27"/>
  <c r="J446" i="27"/>
  <c r="N452" i="27"/>
  <c r="J452" i="27"/>
  <c r="K452" i="27"/>
  <c r="M452" i="27"/>
  <c r="K469" i="27"/>
  <c r="N469" i="27"/>
  <c r="J469" i="27"/>
  <c r="M469" i="27"/>
  <c r="L469" i="27"/>
  <c r="K477" i="27"/>
  <c r="N477" i="27"/>
  <c r="L477" i="27"/>
  <c r="M477" i="27"/>
  <c r="M487" i="27"/>
  <c r="J487" i="27"/>
  <c r="L487" i="27"/>
  <c r="N487" i="27"/>
  <c r="N196" i="27"/>
  <c r="N201" i="27"/>
  <c r="N204" i="27"/>
  <c r="J204" i="27"/>
  <c r="L204" i="27"/>
  <c r="K205" i="27"/>
  <c r="J205" i="27"/>
  <c r="N212" i="27"/>
  <c r="J212" i="27"/>
  <c r="L212" i="27"/>
  <c r="K213" i="27"/>
  <c r="J213" i="27"/>
  <c r="N220" i="27"/>
  <c r="J220" i="27"/>
  <c r="L220" i="27"/>
  <c r="K221" i="27"/>
  <c r="J221" i="27"/>
  <c r="N228" i="27"/>
  <c r="J228" i="27"/>
  <c r="L228" i="27"/>
  <c r="K229" i="27"/>
  <c r="J229" i="27"/>
  <c r="N236" i="27"/>
  <c r="J236" i="27"/>
  <c r="L236" i="27"/>
  <c r="K237" i="27"/>
  <c r="J237" i="27"/>
  <c r="N244" i="27"/>
  <c r="J244" i="27"/>
  <c r="L244" i="27"/>
  <c r="K245" i="27"/>
  <c r="J245" i="27"/>
  <c r="N252" i="27"/>
  <c r="J252" i="27"/>
  <c r="L252" i="27"/>
  <c r="K253" i="27"/>
  <c r="J253" i="27"/>
  <c r="N259" i="27"/>
  <c r="J259" i="27"/>
  <c r="K259" i="27"/>
  <c r="L261" i="27"/>
  <c r="K261" i="27"/>
  <c r="K271" i="27"/>
  <c r="N271" i="27"/>
  <c r="N284" i="27"/>
  <c r="J284" i="27"/>
  <c r="M284" i="27"/>
  <c r="K285" i="27"/>
  <c r="L285" i="27"/>
  <c r="M295" i="27"/>
  <c r="L295" i="27"/>
  <c r="K297" i="27"/>
  <c r="N297" i="27"/>
  <c r="N304" i="27"/>
  <c r="J304" i="27"/>
  <c r="K304" i="27"/>
  <c r="L306" i="27"/>
  <c r="K306" i="27"/>
  <c r="M307" i="27"/>
  <c r="J307" i="27"/>
  <c r="N316" i="27"/>
  <c r="J316" i="27"/>
  <c r="M316" i="27"/>
  <c r="K317" i="27"/>
  <c r="L317" i="27"/>
  <c r="M327" i="27"/>
  <c r="L327" i="27"/>
  <c r="K329" i="27"/>
  <c r="N329" i="27"/>
  <c r="N336" i="27"/>
  <c r="J336" i="27"/>
  <c r="K336" i="27"/>
  <c r="L338" i="27"/>
  <c r="K338" i="27"/>
  <c r="M339" i="27"/>
  <c r="J339" i="27"/>
  <c r="K345" i="27"/>
  <c r="N345" i="27"/>
  <c r="M345" i="27"/>
  <c r="L346" i="27"/>
  <c r="K346" i="27"/>
  <c r="J346" i="27"/>
  <c r="K353" i="27"/>
  <c r="N353" i="27"/>
  <c r="M353" i="27"/>
  <c r="L354" i="27"/>
  <c r="K354" i="27"/>
  <c r="J354" i="27"/>
  <c r="K361" i="27"/>
  <c r="N361" i="27"/>
  <c r="M361" i="27"/>
  <c r="L362" i="27"/>
  <c r="K362" i="27"/>
  <c r="J362" i="27"/>
  <c r="K371" i="27"/>
  <c r="L371" i="27"/>
  <c r="J371" i="27"/>
  <c r="L376" i="27"/>
  <c r="K376" i="27"/>
  <c r="N376" i="27"/>
  <c r="M376" i="27"/>
  <c r="M391" i="27"/>
  <c r="J391" i="27"/>
  <c r="L391" i="27"/>
  <c r="K391" i="27"/>
  <c r="N437" i="27"/>
  <c r="J437" i="27"/>
  <c r="M437" i="27"/>
  <c r="L437" i="27"/>
  <c r="K442" i="27"/>
  <c r="J442" i="27"/>
  <c r="N442" i="27"/>
  <c r="L443" i="27"/>
  <c r="M443" i="27"/>
  <c r="N443" i="27"/>
  <c r="K443" i="27"/>
  <c r="N445" i="27"/>
  <c r="J445" i="27"/>
  <c r="M445" i="27"/>
  <c r="L445" i="27"/>
  <c r="K450" i="27"/>
  <c r="J450" i="27"/>
  <c r="N450" i="27"/>
  <c r="M451" i="27"/>
  <c r="L451" i="27"/>
  <c r="N451" i="27"/>
  <c r="K451" i="27"/>
  <c r="N456" i="27"/>
  <c r="J456" i="27"/>
  <c r="M456" i="27"/>
  <c r="K456" i="27"/>
  <c r="L456" i="27"/>
  <c r="L462" i="27"/>
  <c r="K462" i="27"/>
  <c r="N462" i="27"/>
  <c r="M462" i="27"/>
  <c r="J462" i="27"/>
  <c r="N464" i="27"/>
  <c r="J464" i="27"/>
  <c r="M464" i="27"/>
  <c r="L464" i="27"/>
  <c r="K485" i="27"/>
  <c r="N485" i="27"/>
  <c r="M485" i="27"/>
  <c r="L485" i="27"/>
  <c r="J485" i="27"/>
  <c r="K489" i="27"/>
  <c r="L489" i="27"/>
  <c r="J489" i="27"/>
  <c r="L494" i="27"/>
  <c r="K494" i="27"/>
  <c r="N494" i="27"/>
  <c r="M494" i="27"/>
  <c r="K497" i="27"/>
  <c r="L497" i="27"/>
  <c r="M497" i="27"/>
  <c r="J497" i="27"/>
  <c r="L507" i="27"/>
  <c r="M507" i="27"/>
  <c r="K507" i="27"/>
  <c r="N507" i="27"/>
  <c r="J507" i="27"/>
  <c r="N347" i="27"/>
  <c r="N355" i="27"/>
  <c r="N363" i="27"/>
  <c r="N370" i="27"/>
  <c r="J370" i="27"/>
  <c r="M370" i="27"/>
  <c r="M381" i="27"/>
  <c r="L381" i="27"/>
  <c r="K383" i="27"/>
  <c r="N383" i="27"/>
  <c r="N392" i="27"/>
  <c r="J392" i="27"/>
  <c r="M392" i="27"/>
  <c r="K431" i="27"/>
  <c r="M431" i="27"/>
  <c r="L439" i="27"/>
  <c r="J439" i="27"/>
  <c r="L447" i="27"/>
  <c r="J447" i="27"/>
  <c r="K453" i="27"/>
  <c r="N453" i="27"/>
  <c r="M453" i="27"/>
  <c r="L454" i="27"/>
  <c r="K454" i="27"/>
  <c r="M454" i="27"/>
  <c r="N468" i="27"/>
  <c r="J468" i="27"/>
  <c r="K468" i="27"/>
  <c r="N472" i="27"/>
  <c r="J472" i="27"/>
  <c r="M472" i="27"/>
  <c r="K473" i="27"/>
  <c r="L473" i="27"/>
  <c r="N473" i="27"/>
  <c r="M475" i="27"/>
  <c r="L475" i="27"/>
  <c r="K475" i="27"/>
  <c r="K481" i="27"/>
  <c r="L481" i="27"/>
  <c r="M499" i="27"/>
  <c r="L499" i="27"/>
  <c r="J499" i="27"/>
  <c r="N211" i="27"/>
  <c r="N219" i="27"/>
  <c r="N227" i="27"/>
  <c r="N235" i="27"/>
  <c r="N243" i="27"/>
  <c r="N251" i="27"/>
  <c r="N257" i="27"/>
  <c r="N286" i="27"/>
  <c r="N294" i="27"/>
  <c r="N302" i="27"/>
  <c r="N310" i="27"/>
  <c r="N318" i="27"/>
  <c r="N326" i="27"/>
  <c r="N334" i="27"/>
  <c r="N342" i="27"/>
  <c r="J347" i="27"/>
  <c r="N350" i="27"/>
  <c r="J355" i="27"/>
  <c r="N358" i="27"/>
  <c r="J363" i="27"/>
  <c r="N366" i="27"/>
  <c r="K370" i="27"/>
  <c r="M373" i="27"/>
  <c r="L373" i="27"/>
  <c r="K375" i="27"/>
  <c r="N375" i="27"/>
  <c r="J381" i="27"/>
  <c r="J383" i="27"/>
  <c r="L384" i="27"/>
  <c r="K384" i="27"/>
  <c r="M385" i="27"/>
  <c r="J385" i="27"/>
  <c r="K392" i="27"/>
  <c r="L401" i="27"/>
  <c r="M401" i="27"/>
  <c r="M402" i="27"/>
  <c r="K402" i="27"/>
  <c r="N403" i="27"/>
  <c r="J403" i="27"/>
  <c r="L409" i="27"/>
  <c r="M409" i="27"/>
  <c r="M410" i="27"/>
  <c r="K410" i="27"/>
  <c r="N411" i="27"/>
  <c r="J411" i="27"/>
  <c r="L417" i="27"/>
  <c r="M417" i="27"/>
  <c r="M418" i="27"/>
  <c r="K418" i="27"/>
  <c r="N419" i="27"/>
  <c r="J419" i="27"/>
  <c r="L425" i="27"/>
  <c r="K425" i="27"/>
  <c r="M426" i="27"/>
  <c r="J426" i="27"/>
  <c r="J431" i="27"/>
  <c r="L432" i="27"/>
  <c r="J432" i="27"/>
  <c r="K439" i="27"/>
  <c r="K447" i="27"/>
  <c r="J453" i="27"/>
  <c r="J454" i="27"/>
  <c r="M467" i="27"/>
  <c r="L467" i="27"/>
  <c r="J467" i="27"/>
  <c r="L468" i="27"/>
  <c r="K472" i="27"/>
  <c r="J473" i="27"/>
  <c r="J475" i="27"/>
  <c r="M479" i="27"/>
  <c r="J479" i="27"/>
  <c r="K479" i="27"/>
  <c r="J481" i="27"/>
  <c r="M483" i="27"/>
  <c r="L483" i="27"/>
  <c r="N483" i="27"/>
  <c r="M495" i="27"/>
  <c r="J495" i="27"/>
  <c r="N495" i="27"/>
  <c r="N496" i="27"/>
  <c r="J496" i="27"/>
  <c r="M496" i="27"/>
  <c r="L496" i="27"/>
  <c r="K499" i="27"/>
  <c r="N372" i="27"/>
  <c r="N380" i="27"/>
  <c r="N398" i="27"/>
  <c r="N406" i="27"/>
  <c r="N414" i="27"/>
  <c r="N433" i="27"/>
  <c r="N440" i="27"/>
  <c r="N448" i="27"/>
  <c r="M459" i="27"/>
  <c r="L459" i="27"/>
  <c r="K461" i="27"/>
  <c r="N461" i="27"/>
  <c r="L470" i="27"/>
  <c r="K470" i="27"/>
  <c r="M471" i="27"/>
  <c r="J471" i="27"/>
  <c r="N480" i="27"/>
  <c r="J480" i="27"/>
  <c r="M480" i="27"/>
  <c r="M491" i="27"/>
  <c r="L491" i="27"/>
  <c r="K493" i="27"/>
  <c r="N493" i="27"/>
  <c r="N458" i="27"/>
  <c r="N466" i="27"/>
  <c r="N474" i="27"/>
  <c r="N482" i="27"/>
  <c r="N490" i="27"/>
  <c r="N498" i="27"/>
  <c r="E263" i="40" l="1"/>
  <c r="K528" i="27"/>
  <c r="N530" i="27"/>
  <c r="N508" i="27"/>
  <c r="N528" i="27"/>
  <c r="K508" i="27"/>
  <c r="M530" i="27"/>
  <c r="M508" i="27"/>
  <c r="M528" i="27"/>
  <c r="K530" i="27"/>
  <c r="L528" i="27"/>
  <c r="L508" i="27"/>
  <c r="L530" i="27"/>
  <c r="J530" i="27"/>
  <c r="J508" i="27"/>
  <c r="C263" i="40" s="1"/>
  <c r="J528" i="27"/>
  <c r="C252" i="4" l="1"/>
  <c r="P931" i="4"/>
  <c r="N934" i="4"/>
  <c r="N933" i="4"/>
  <c r="N932" i="4"/>
  <c r="L931" i="4"/>
  <c r="L934" i="4"/>
  <c r="P934" i="4" l="1"/>
  <c r="K480" i="4"/>
  <c r="M480" i="4" s="1"/>
  <c r="O480" i="4" s="1"/>
  <c r="I40" i="1" s="1"/>
  <c r="P932" i="4"/>
  <c r="K478" i="4"/>
  <c r="M478" i="4" s="1"/>
  <c r="O478" i="4" s="1"/>
  <c r="P933" i="4"/>
  <c r="K479" i="4"/>
  <c r="M479" i="4" s="1"/>
  <c r="O479" i="4" s="1"/>
  <c r="I7" i="1" s="1"/>
  <c r="N935" i="4"/>
  <c r="E933" i="4" s="1"/>
  <c r="X22" i="7"/>
  <c r="Z29" i="7"/>
  <c r="Z28" i="7"/>
  <c r="Z27" i="7"/>
  <c r="Z26" i="7"/>
  <c r="Z25" i="7"/>
  <c r="Z24" i="7"/>
  <c r="P935" i="4" l="1"/>
  <c r="F933" i="4" s="1"/>
  <c r="I82" i="1"/>
  <c r="O481" i="4"/>
  <c r="I184" i="1" s="1"/>
  <c r="U55" i="26"/>
  <c r="R55" i="26"/>
  <c r="S55" i="26" s="1"/>
  <c r="P55" i="26"/>
  <c r="Q55" i="26" s="1"/>
  <c r="U54" i="26"/>
  <c r="R54" i="26"/>
  <c r="S54" i="26" s="1"/>
  <c r="P54" i="26"/>
  <c r="Q54" i="26" s="1"/>
  <c r="U53" i="26"/>
  <c r="R53" i="26"/>
  <c r="S53" i="26" s="1"/>
  <c r="P53" i="26"/>
  <c r="Q53" i="26" s="1"/>
  <c r="V53" i="26" s="1"/>
  <c r="U52" i="26"/>
  <c r="R52" i="26"/>
  <c r="S52" i="26" s="1"/>
  <c r="P52" i="26"/>
  <c r="Q52" i="26" s="1"/>
  <c r="U51" i="26"/>
  <c r="R51" i="26"/>
  <c r="S51" i="26" s="1"/>
  <c r="P51" i="26"/>
  <c r="Q51" i="26" s="1"/>
  <c r="U50" i="26"/>
  <c r="R50" i="26"/>
  <c r="S50" i="26" s="1"/>
  <c r="P50" i="26"/>
  <c r="Q50" i="26" s="1"/>
  <c r="U49" i="26"/>
  <c r="R49" i="26"/>
  <c r="S49" i="26" s="1"/>
  <c r="P49" i="26"/>
  <c r="Q49" i="26" s="1"/>
  <c r="U48" i="26"/>
  <c r="R48" i="26"/>
  <c r="S48" i="26" s="1"/>
  <c r="P48" i="26"/>
  <c r="Q48" i="26" s="1"/>
  <c r="U47" i="26"/>
  <c r="R47" i="26"/>
  <c r="S47" i="26" s="1"/>
  <c r="P47" i="26"/>
  <c r="Q47" i="26" s="1"/>
  <c r="U46" i="26"/>
  <c r="R46" i="26"/>
  <c r="S46" i="26" s="1"/>
  <c r="P46" i="26"/>
  <c r="Q46" i="26" s="1"/>
  <c r="U45" i="26"/>
  <c r="R45" i="26"/>
  <c r="S45" i="26" s="1"/>
  <c r="P45" i="26"/>
  <c r="Q45" i="26" s="1"/>
  <c r="U44" i="26"/>
  <c r="R44" i="26"/>
  <c r="S44" i="26" s="1"/>
  <c r="P44" i="26"/>
  <c r="Q44" i="26" s="1"/>
  <c r="U43" i="26"/>
  <c r="R43" i="26"/>
  <c r="S43" i="26" s="1"/>
  <c r="P43" i="26"/>
  <c r="Q43" i="26" s="1"/>
  <c r="U42" i="26"/>
  <c r="R42" i="26"/>
  <c r="S42" i="26" s="1"/>
  <c r="P42" i="26"/>
  <c r="Q42" i="26" s="1"/>
  <c r="U41" i="26"/>
  <c r="R41" i="26"/>
  <c r="S41" i="26" s="1"/>
  <c r="P41" i="26"/>
  <c r="Q41" i="26" s="1"/>
  <c r="U40" i="26"/>
  <c r="R40" i="26"/>
  <c r="S40" i="26" s="1"/>
  <c r="P40" i="26"/>
  <c r="Q40" i="26" s="1"/>
  <c r="U39" i="26"/>
  <c r="R39" i="26"/>
  <c r="S39" i="26" s="1"/>
  <c r="P39" i="26"/>
  <c r="Q39" i="26" s="1"/>
  <c r="U38" i="26"/>
  <c r="R38" i="26"/>
  <c r="S38" i="26" s="1"/>
  <c r="P38" i="26"/>
  <c r="Q38" i="26" s="1"/>
  <c r="U33" i="26"/>
  <c r="R33" i="26"/>
  <c r="S33" i="26" s="1"/>
  <c r="P33" i="26"/>
  <c r="Q33" i="26" s="1"/>
  <c r="U32" i="26"/>
  <c r="R32" i="26"/>
  <c r="S32" i="26" s="1"/>
  <c r="P32" i="26"/>
  <c r="Q32" i="26" s="1"/>
  <c r="U31" i="26"/>
  <c r="R31" i="26"/>
  <c r="S31" i="26" s="1"/>
  <c r="P31" i="26"/>
  <c r="Q31" i="26" s="1"/>
  <c r="U30" i="26"/>
  <c r="R30" i="26"/>
  <c r="S30" i="26" s="1"/>
  <c r="P30" i="26"/>
  <c r="Q30" i="26" s="1"/>
  <c r="U29" i="26"/>
  <c r="R29" i="26"/>
  <c r="S29" i="26" s="1"/>
  <c r="P29" i="26"/>
  <c r="Q29" i="26" s="1"/>
  <c r="U28" i="26"/>
  <c r="R28" i="26"/>
  <c r="S28" i="26" s="1"/>
  <c r="P28" i="26"/>
  <c r="Q28" i="26" s="1"/>
  <c r="U27" i="26"/>
  <c r="R27" i="26"/>
  <c r="S27" i="26" s="1"/>
  <c r="P27" i="26"/>
  <c r="Q27" i="26" s="1"/>
  <c r="U26" i="26"/>
  <c r="R26" i="26"/>
  <c r="S26" i="26" s="1"/>
  <c r="P26" i="26"/>
  <c r="Q26" i="26" s="1"/>
  <c r="U25" i="26"/>
  <c r="R25" i="26"/>
  <c r="S25" i="26" s="1"/>
  <c r="P25" i="26"/>
  <c r="Q25" i="26" s="1"/>
  <c r="V25" i="26" s="1"/>
  <c r="U24" i="26"/>
  <c r="R24" i="26"/>
  <c r="S24" i="26" s="1"/>
  <c r="P24" i="26"/>
  <c r="Q24" i="26" s="1"/>
  <c r="U23" i="26"/>
  <c r="R23" i="26"/>
  <c r="S23" i="26" s="1"/>
  <c r="P23" i="26"/>
  <c r="Q23" i="26" s="1"/>
  <c r="U22" i="26"/>
  <c r="R22" i="26"/>
  <c r="S22" i="26" s="1"/>
  <c r="P22" i="26"/>
  <c r="Q22" i="26" s="1"/>
  <c r="U21" i="26"/>
  <c r="R21" i="26"/>
  <c r="S21" i="26" s="1"/>
  <c r="P21" i="26"/>
  <c r="Q21" i="26" s="1"/>
  <c r="U20" i="26"/>
  <c r="R20" i="26"/>
  <c r="S20" i="26" s="1"/>
  <c r="P20" i="26"/>
  <c r="Q20" i="26" s="1"/>
  <c r="U19" i="26"/>
  <c r="R19" i="26"/>
  <c r="S19" i="26" s="1"/>
  <c r="P19" i="26"/>
  <c r="Q19" i="26" s="1"/>
  <c r="U18" i="26"/>
  <c r="R18" i="26"/>
  <c r="S18" i="26" s="1"/>
  <c r="P18" i="26"/>
  <c r="Q18" i="26" s="1"/>
  <c r="U17" i="26"/>
  <c r="R17" i="26"/>
  <c r="S17" i="26" s="1"/>
  <c r="P17" i="26"/>
  <c r="Q17" i="26" s="1"/>
  <c r="U16" i="26"/>
  <c r="R16" i="26"/>
  <c r="S16" i="26" s="1"/>
  <c r="P16" i="26"/>
  <c r="Q16" i="26" s="1"/>
  <c r="U15" i="26"/>
  <c r="R15" i="26"/>
  <c r="S15" i="26" s="1"/>
  <c r="P15" i="26"/>
  <c r="Q15" i="26" s="1"/>
  <c r="U14" i="26"/>
  <c r="R14" i="26"/>
  <c r="S14" i="26" s="1"/>
  <c r="P14" i="26"/>
  <c r="Q14" i="26" s="1"/>
  <c r="U13" i="26"/>
  <c r="R13" i="26"/>
  <c r="S13" i="26" s="1"/>
  <c r="P13" i="26"/>
  <c r="Q13" i="26" s="1"/>
  <c r="U12" i="26"/>
  <c r="R12" i="26"/>
  <c r="S12" i="26" s="1"/>
  <c r="P12" i="26"/>
  <c r="Q12" i="26" s="1"/>
  <c r="U11" i="26"/>
  <c r="R11" i="26"/>
  <c r="S11" i="26" s="1"/>
  <c r="P11" i="26"/>
  <c r="Q11" i="26" s="1"/>
  <c r="U10" i="26"/>
  <c r="R10" i="26"/>
  <c r="S10" i="26" s="1"/>
  <c r="P10" i="26"/>
  <c r="Q10" i="26" s="1"/>
  <c r="U9" i="26"/>
  <c r="R9" i="26"/>
  <c r="S9" i="26" s="1"/>
  <c r="P9" i="26"/>
  <c r="Q9" i="26" s="1"/>
  <c r="W25" i="26" l="1"/>
  <c r="W49" i="26"/>
  <c r="W53" i="26"/>
  <c r="X53" i="26" s="1"/>
  <c r="V9" i="26"/>
  <c r="W12" i="26"/>
  <c r="W13" i="26"/>
  <c r="V16" i="26"/>
  <c r="V21" i="26"/>
  <c r="W9" i="26"/>
  <c r="W16" i="26"/>
  <c r="W26" i="26"/>
  <c r="V12" i="26"/>
  <c r="W32" i="26"/>
  <c r="V49" i="26"/>
  <c r="X49" i="26" s="1"/>
  <c r="W20" i="26"/>
  <c r="T30" i="26"/>
  <c r="T38" i="26"/>
  <c r="T42" i="26"/>
  <c r="T46" i="26"/>
  <c r="T50" i="26"/>
  <c r="W28" i="26"/>
  <c r="W40" i="26"/>
  <c r="W10" i="26"/>
  <c r="T12" i="26"/>
  <c r="T39" i="26"/>
  <c r="V17" i="26"/>
  <c r="T21" i="26"/>
  <c r="V29" i="26"/>
  <c r="W39" i="26"/>
  <c r="V41" i="26"/>
  <c r="W24" i="26"/>
  <c r="T27" i="26"/>
  <c r="T11" i="26"/>
  <c r="T14" i="26"/>
  <c r="V20" i="26"/>
  <c r="X20" i="26" s="1"/>
  <c r="W29" i="26"/>
  <c r="V33" i="26"/>
  <c r="W41" i="26"/>
  <c r="V45" i="26"/>
  <c r="T54" i="26"/>
  <c r="W44" i="26"/>
  <c r="W48" i="26"/>
  <c r="W52" i="26"/>
  <c r="T15" i="26"/>
  <c r="W18" i="26"/>
  <c r="T47" i="26"/>
  <c r="W47" i="26"/>
  <c r="T20" i="26"/>
  <c r="T23" i="26"/>
  <c r="V24" i="26"/>
  <c r="W31" i="26"/>
  <c r="W33" i="26"/>
  <c r="W43" i="26"/>
  <c r="W45" i="26"/>
  <c r="W51" i="26"/>
  <c r="T55" i="26"/>
  <c r="T13" i="26"/>
  <c r="V13" i="26"/>
  <c r="W17" i="26"/>
  <c r="T19" i="26"/>
  <c r="W21" i="26"/>
  <c r="T22" i="26"/>
  <c r="T31" i="26"/>
  <c r="T43" i="26"/>
  <c r="T51" i="26"/>
  <c r="W15" i="26"/>
  <c r="V15" i="26"/>
  <c r="V26" i="26"/>
  <c r="V32" i="26"/>
  <c r="X32" i="26" s="1"/>
  <c r="T32" i="26"/>
  <c r="V40" i="26"/>
  <c r="T40" i="26"/>
  <c r="V44" i="26"/>
  <c r="T44" i="26"/>
  <c r="V48" i="26"/>
  <c r="T48" i="26"/>
  <c r="V52" i="26"/>
  <c r="T52" i="26"/>
  <c r="T10" i="26"/>
  <c r="W14" i="26"/>
  <c r="T16" i="26"/>
  <c r="T18" i="26"/>
  <c r="W22" i="26"/>
  <c r="T24" i="26"/>
  <c r="T26" i="26"/>
  <c r="V30" i="26"/>
  <c r="W30" i="26"/>
  <c r="W38" i="26"/>
  <c r="V38" i="26"/>
  <c r="X41" i="26"/>
  <c r="V42" i="26"/>
  <c r="W42" i="26"/>
  <c r="W46" i="26"/>
  <c r="V46" i="26"/>
  <c r="V50" i="26"/>
  <c r="W50" i="26"/>
  <c r="V54" i="26"/>
  <c r="W54" i="26"/>
  <c r="W55" i="26"/>
  <c r="V10" i="26"/>
  <c r="V18" i="26"/>
  <c r="W23" i="26"/>
  <c r="V23" i="26"/>
  <c r="V28" i="26"/>
  <c r="T28" i="26"/>
  <c r="T9" i="26"/>
  <c r="W11" i="26"/>
  <c r="V11" i="26"/>
  <c r="V14" i="26"/>
  <c r="T17" i="26"/>
  <c r="W19" i="26"/>
  <c r="V19" i="26"/>
  <c r="V22" i="26"/>
  <c r="T25" i="26"/>
  <c r="X25" i="26"/>
  <c r="W27" i="26"/>
  <c r="V27" i="26"/>
  <c r="T29" i="26"/>
  <c r="T33" i="26"/>
  <c r="T41" i="26"/>
  <c r="T45" i="26"/>
  <c r="T49" i="26"/>
  <c r="T53" i="26"/>
  <c r="V31" i="26"/>
  <c r="V39" i="26"/>
  <c r="V43" i="26"/>
  <c r="V47" i="26"/>
  <c r="V51" i="26"/>
  <c r="V55" i="26"/>
  <c r="X48" i="26" l="1"/>
  <c r="X16" i="26"/>
  <c r="X26" i="26"/>
  <c r="X29" i="26"/>
  <c r="X12" i="26"/>
  <c r="X21" i="26"/>
  <c r="X9" i="26"/>
  <c r="X28" i="26"/>
  <c r="X13" i="26"/>
  <c r="X38" i="26"/>
  <c r="X47" i="26"/>
  <c r="X24" i="26"/>
  <c r="X51" i="26"/>
  <c r="X31" i="26"/>
  <c r="X55" i="26"/>
  <c r="X33" i="26"/>
  <c r="X39" i="26"/>
  <c r="X19" i="26"/>
  <c r="X11" i="26"/>
  <c r="X45" i="26"/>
  <c r="X40" i="26"/>
  <c r="X17" i="26"/>
  <c r="X14" i="26"/>
  <c r="X18" i="26"/>
  <c r="X43" i="26"/>
  <c r="X10" i="26"/>
  <c r="X46" i="26"/>
  <c r="X44" i="26"/>
  <c r="W56" i="26"/>
  <c r="X42" i="26"/>
  <c r="X52" i="26"/>
  <c r="X27" i="26"/>
  <c r="X22" i="26"/>
  <c r="X23" i="26"/>
  <c r="V56" i="26"/>
  <c r="X50" i="26"/>
  <c r="X30" i="26"/>
  <c r="X54" i="26"/>
  <c r="X15" i="26"/>
  <c r="X56" i="26" l="1"/>
  <c r="C13" i="25"/>
  <c r="L5" i="24"/>
  <c r="H7" i="24"/>
  <c r="I7" i="24"/>
  <c r="J7" i="24"/>
  <c r="K7" i="24"/>
  <c r="H8" i="24"/>
  <c r="I8" i="24"/>
  <c r="J8" i="24"/>
  <c r="K8" i="24"/>
  <c r="H9" i="24"/>
  <c r="I9" i="24"/>
  <c r="J9" i="24"/>
  <c r="K9" i="24"/>
  <c r="H10" i="24"/>
  <c r="I10" i="24"/>
  <c r="J10" i="24"/>
  <c r="K10" i="24"/>
  <c r="H11" i="24"/>
  <c r="I11" i="24"/>
  <c r="J11" i="24"/>
  <c r="K11" i="24"/>
  <c r="H12" i="24"/>
  <c r="I12" i="24"/>
  <c r="J12" i="24"/>
  <c r="K12" i="24"/>
  <c r="H13" i="24"/>
  <c r="I13" i="24"/>
  <c r="J13" i="24"/>
  <c r="K13" i="24"/>
  <c r="H14" i="24"/>
  <c r="I14" i="24"/>
  <c r="J14" i="24"/>
  <c r="K14" i="24"/>
  <c r="H15" i="24"/>
  <c r="I15" i="24"/>
  <c r="J15" i="24"/>
  <c r="K15" i="24"/>
  <c r="H16" i="24"/>
  <c r="I16" i="24"/>
  <c r="J16" i="24"/>
  <c r="K16" i="24"/>
  <c r="I6" i="24"/>
  <c r="J6" i="24"/>
  <c r="K6" i="24"/>
  <c r="H6" i="24"/>
  <c r="F17" i="24"/>
  <c r="D17" i="24"/>
  <c r="C17" i="24"/>
  <c r="G16" i="24"/>
  <c r="G15" i="24"/>
  <c r="G14" i="24"/>
  <c r="G13" i="24"/>
  <c r="G12" i="24"/>
  <c r="G11" i="24"/>
  <c r="G10" i="24"/>
  <c r="G9" i="24"/>
  <c r="G8" i="24"/>
  <c r="G7" i="24"/>
  <c r="G6" i="24"/>
  <c r="G5" i="24"/>
  <c r="I20" i="23"/>
  <c r="M5" i="24" l="1"/>
  <c r="H17" i="24"/>
  <c r="K17" i="24"/>
  <c r="L16" i="24"/>
  <c r="M16" i="24" s="1"/>
  <c r="L12" i="24"/>
  <c r="M12" i="24" s="1"/>
  <c r="L8" i="24"/>
  <c r="M8" i="24" s="1"/>
  <c r="J17" i="24"/>
  <c r="L15" i="24"/>
  <c r="M15" i="24" s="1"/>
  <c r="L11" i="24"/>
  <c r="M11" i="24" s="1"/>
  <c r="L7" i="24"/>
  <c r="L6" i="24"/>
  <c r="M6" i="24" s="1"/>
  <c r="L14" i="24"/>
  <c r="M14" i="24" s="1"/>
  <c r="L13" i="24"/>
  <c r="M13" i="24" s="1"/>
  <c r="L10" i="24"/>
  <c r="M10" i="24" s="1"/>
  <c r="L9" i="24"/>
  <c r="M9" i="24" s="1"/>
  <c r="I17" i="24"/>
  <c r="G17" i="24"/>
  <c r="E17" i="24"/>
  <c r="C23" i="25" s="1"/>
  <c r="C19" i="25" l="1"/>
  <c r="C20" i="25" s="1"/>
  <c r="L17" i="24"/>
  <c r="M7" i="24"/>
  <c r="M17" i="24" s="1"/>
  <c r="I29" i="23"/>
  <c r="L8" i="23"/>
  <c r="L9" i="23" s="1"/>
  <c r="L69" i="22"/>
  <c r="J69" i="22"/>
  <c r="E124" i="22"/>
  <c r="H124" i="22" s="1"/>
  <c r="E118" i="22"/>
  <c r="D114" i="22"/>
  <c r="D113" i="22"/>
  <c r="D112" i="22"/>
  <c r="I97" i="22"/>
  <c r="I95" i="22"/>
  <c r="I96" i="22" s="1"/>
  <c r="K94" i="22"/>
  <c r="K95" i="22" s="1"/>
  <c r="K97" i="22" s="1"/>
  <c r="H94" i="22"/>
  <c r="H97" i="22" s="1"/>
  <c r="J87" i="22"/>
  <c r="I86" i="22"/>
  <c r="H85" i="22"/>
  <c r="K84" i="22"/>
  <c r="K85" i="22" s="1"/>
  <c r="H84" i="22"/>
  <c r="F55" i="22"/>
  <c r="O43" i="22"/>
  <c r="P41" i="22"/>
  <c r="L40" i="22"/>
  <c r="J40" i="22"/>
  <c r="R30" i="22"/>
  <c r="L25" i="22"/>
  <c r="C10" i="21"/>
  <c r="E10" i="31" s="1"/>
  <c r="C86" i="21"/>
  <c r="B74" i="21"/>
  <c r="E56" i="21"/>
  <c r="C50" i="21"/>
  <c r="G47" i="21"/>
  <c r="F47" i="21"/>
  <c r="F46" i="21"/>
  <c r="H46" i="21" s="1"/>
  <c r="J46" i="21" s="1"/>
  <c r="P38" i="21"/>
  <c r="F38" i="21"/>
  <c r="P37" i="21"/>
  <c r="F37" i="21"/>
  <c r="P36" i="21"/>
  <c r="F36" i="21"/>
  <c r="R35" i="21"/>
  <c r="P35" i="21"/>
  <c r="C42" i="21"/>
  <c r="P34" i="21"/>
  <c r="S34" i="21" s="1"/>
  <c r="R32" i="21"/>
  <c r="P32" i="21"/>
  <c r="R31" i="21"/>
  <c r="P31" i="21"/>
  <c r="L31" i="21"/>
  <c r="L32" i="21" s="1"/>
  <c r="C29" i="21"/>
  <c r="BC27" i="21"/>
  <c r="AZ27" i="21"/>
  <c r="R27" i="21"/>
  <c r="R33" i="21" s="1"/>
  <c r="P27" i="21"/>
  <c r="P33" i="21" s="1"/>
  <c r="F27" i="21"/>
  <c r="H27" i="21" s="1"/>
  <c r="J27" i="21" s="1"/>
  <c r="AZ26" i="21"/>
  <c r="BB26" i="21" s="1"/>
  <c r="AY26" i="21"/>
  <c r="F26" i="21"/>
  <c r="H26" i="21" s="1"/>
  <c r="J26" i="21" s="1"/>
  <c r="BC25" i="21"/>
  <c r="AZ25" i="21"/>
  <c r="BB25" i="21" s="1"/>
  <c r="AY25" i="21"/>
  <c r="T25" i="21"/>
  <c r="F25" i="21"/>
  <c r="H25" i="21" s="1"/>
  <c r="J25" i="21" s="1"/>
  <c r="AZ24" i="21"/>
  <c r="BB24" i="21" s="1"/>
  <c r="AY24" i="21"/>
  <c r="T24" i="21"/>
  <c r="F24" i="21"/>
  <c r="H24" i="21" s="1"/>
  <c r="J24" i="21" s="1"/>
  <c r="AZ23" i="21"/>
  <c r="BB23" i="21" s="1"/>
  <c r="AY23" i="21"/>
  <c r="T23" i="21"/>
  <c r="G23" i="21"/>
  <c r="F23" i="21"/>
  <c r="AZ22" i="21"/>
  <c r="BB22" i="21" s="1"/>
  <c r="AY22" i="21"/>
  <c r="T22" i="21"/>
  <c r="F22" i="21"/>
  <c r="H22" i="21" s="1"/>
  <c r="J22" i="21" s="1"/>
  <c r="AZ21" i="21"/>
  <c r="BB21" i="21" s="1"/>
  <c r="AY21" i="21"/>
  <c r="T21" i="21"/>
  <c r="F21" i="21"/>
  <c r="H21" i="21" s="1"/>
  <c r="J21" i="21" s="1"/>
  <c r="AZ20" i="21"/>
  <c r="BB20" i="21" s="1"/>
  <c r="AY20" i="21"/>
  <c r="T20" i="21"/>
  <c r="F20" i="21"/>
  <c r="H20" i="21" s="1"/>
  <c r="J20" i="21" s="1"/>
  <c r="AZ19" i="21"/>
  <c r="BB19" i="21" s="1"/>
  <c r="AY19" i="21"/>
  <c r="T19" i="21"/>
  <c r="F19" i="21"/>
  <c r="H19" i="21" s="1"/>
  <c r="J19" i="21" s="1"/>
  <c r="AZ18" i="21"/>
  <c r="BB18" i="21" s="1"/>
  <c r="AY18" i="21"/>
  <c r="T18" i="21"/>
  <c r="F18" i="21"/>
  <c r="H18" i="21" s="1"/>
  <c r="J18" i="21" s="1"/>
  <c r="AZ17" i="21"/>
  <c r="BB17" i="21" s="1"/>
  <c r="AY17" i="21"/>
  <c r="T17" i="21"/>
  <c r="F17" i="21"/>
  <c r="H17" i="21" s="1"/>
  <c r="J17" i="21" s="1"/>
  <c r="AZ16" i="21"/>
  <c r="BB16" i="21" s="1"/>
  <c r="AY16" i="21"/>
  <c r="T16" i="21"/>
  <c r="F16" i="21"/>
  <c r="H16" i="21" s="1"/>
  <c r="J16" i="21" s="1"/>
  <c r="T15" i="21"/>
  <c r="T14" i="21"/>
  <c r="S23" i="22"/>
  <c r="J20" i="22"/>
  <c r="J19" i="22"/>
  <c r="S18" i="22"/>
  <c r="H47" i="21" l="1"/>
  <c r="I98" i="22"/>
  <c r="H23" i="21"/>
  <c r="J23" i="21" s="1"/>
  <c r="H95" i="22"/>
  <c r="H86" i="22"/>
  <c r="S32" i="21"/>
  <c r="K87" i="22"/>
  <c r="H96" i="22"/>
  <c r="H98" i="22" s="1"/>
  <c r="S31" i="21"/>
  <c r="S35" i="21"/>
  <c r="H35" i="21"/>
  <c r="L20" i="22"/>
  <c r="L19" i="22"/>
  <c r="I19" i="23" s="1"/>
  <c r="I21" i="23" s="1"/>
  <c r="E114" i="22"/>
  <c r="E119" i="22" s="1"/>
  <c r="S33" i="21"/>
  <c r="L10" i="23"/>
  <c r="L11" i="23" s="1"/>
  <c r="J7" i="23" s="1"/>
  <c r="M71" i="22"/>
  <c r="O26" i="22"/>
  <c r="P24" i="22"/>
  <c r="K71" i="22"/>
  <c r="P29" i="21"/>
  <c r="J21" i="23" l="1"/>
  <c r="G412" i="40" s="1"/>
  <c r="G398" i="4" l="1"/>
  <c r="AA23" i="7"/>
  <c r="Y23" i="7"/>
  <c r="AA22" i="7"/>
  <c r="Y22" i="7"/>
  <c r="AA21" i="7"/>
  <c r="Y21" i="7"/>
  <c r="X23" i="7"/>
  <c r="X24" i="7"/>
  <c r="AB24" i="7" s="1"/>
  <c r="X25" i="7"/>
  <c r="AB25" i="7" s="1"/>
  <c r="X26" i="7"/>
  <c r="AB26" i="7" s="1"/>
  <c r="X27" i="7"/>
  <c r="AB27" i="7" s="1"/>
  <c r="X28" i="7"/>
  <c r="AB28" i="7" s="1"/>
  <c r="X29" i="7"/>
  <c r="AB29" i="7" s="1"/>
  <c r="X21" i="7"/>
  <c r="G32" i="9"/>
  <c r="Q47" i="20"/>
  <c r="L47" i="20"/>
  <c r="P47" i="20" s="1"/>
  <c r="M49" i="20"/>
  <c r="E21" i="20"/>
  <c r="F75" i="20"/>
  <c r="D68" i="20"/>
  <c r="F68" i="20" s="1"/>
  <c r="F71" i="20" s="1"/>
  <c r="D67" i="20"/>
  <c r="F67" i="20" s="1"/>
  <c r="Q59" i="20"/>
  <c r="N59" i="20"/>
  <c r="M59" i="20"/>
  <c r="J59" i="20"/>
  <c r="I59" i="20"/>
  <c r="H59" i="20"/>
  <c r="G59" i="20"/>
  <c r="F59" i="20"/>
  <c r="E59" i="20"/>
  <c r="L57" i="20"/>
  <c r="L59" i="20" s="1"/>
  <c r="K57" i="20"/>
  <c r="Q53" i="20"/>
  <c r="N53" i="20"/>
  <c r="M53" i="20"/>
  <c r="J53" i="20"/>
  <c r="G53" i="20"/>
  <c r="F53" i="20"/>
  <c r="E53" i="20"/>
  <c r="L51" i="20"/>
  <c r="O51" i="20" s="1"/>
  <c r="O53" i="20" s="1"/>
  <c r="K51" i="20"/>
  <c r="K53" i="20" s="1"/>
  <c r="N49" i="20"/>
  <c r="N54" i="20" s="1"/>
  <c r="J49" i="20"/>
  <c r="I49" i="20"/>
  <c r="I54" i="20" s="1"/>
  <c r="H49" i="20"/>
  <c r="H54" i="20" s="1"/>
  <c r="G49" i="20"/>
  <c r="F49" i="20"/>
  <c r="E49" i="20"/>
  <c r="Q46" i="20"/>
  <c r="Q49" i="20" s="1"/>
  <c r="Q54" i="20" s="1"/>
  <c r="M46" i="20"/>
  <c r="L46" i="20"/>
  <c r="K46" i="20"/>
  <c r="L45" i="20"/>
  <c r="O45" i="20" s="1"/>
  <c r="K45" i="20"/>
  <c r="L44" i="20"/>
  <c r="K44" i="20"/>
  <c r="K49" i="20" s="1"/>
  <c r="Q41" i="20"/>
  <c r="N41" i="20"/>
  <c r="M41" i="20"/>
  <c r="J41" i="20"/>
  <c r="I41" i="20"/>
  <c r="H41" i="20"/>
  <c r="G41" i="20"/>
  <c r="F41" i="20"/>
  <c r="E41" i="20"/>
  <c r="L39" i="20"/>
  <c r="L41" i="20" s="1"/>
  <c r="K39" i="20"/>
  <c r="Q35" i="20"/>
  <c r="N35" i="20"/>
  <c r="M35" i="20"/>
  <c r="J35" i="20"/>
  <c r="I35" i="20"/>
  <c r="H35" i="20"/>
  <c r="G35" i="20"/>
  <c r="F35" i="20"/>
  <c r="E35" i="20"/>
  <c r="L33" i="20"/>
  <c r="L35" i="20" s="1"/>
  <c r="K33" i="20"/>
  <c r="Q31" i="20"/>
  <c r="N31" i="20"/>
  <c r="M31" i="20"/>
  <c r="J31" i="20"/>
  <c r="I31" i="20"/>
  <c r="H31" i="20"/>
  <c r="G31" i="20"/>
  <c r="F31" i="20"/>
  <c r="E31" i="20"/>
  <c r="L29" i="20"/>
  <c r="O29" i="20" s="1"/>
  <c r="O31" i="20" s="1"/>
  <c r="K29" i="20"/>
  <c r="K31" i="20" s="1"/>
  <c r="Q26" i="20"/>
  <c r="N26" i="20"/>
  <c r="M26" i="20"/>
  <c r="J26" i="20"/>
  <c r="G26" i="20"/>
  <c r="F26" i="20"/>
  <c r="E26" i="20"/>
  <c r="L24" i="20"/>
  <c r="L26" i="20" s="1"/>
  <c r="K24" i="20"/>
  <c r="K26" i="20" s="1"/>
  <c r="Q21" i="20"/>
  <c r="N21" i="20"/>
  <c r="M21" i="20"/>
  <c r="J21" i="20"/>
  <c r="I21" i="20"/>
  <c r="H21" i="20"/>
  <c r="G21" i="20"/>
  <c r="F21" i="20"/>
  <c r="L19" i="20"/>
  <c r="O19" i="20" s="1"/>
  <c r="O21" i="20" s="1"/>
  <c r="K19" i="20"/>
  <c r="K21" i="20" s="1"/>
  <c r="N36" i="20" l="1"/>
  <c r="N61" i="20" s="1"/>
  <c r="O46" i="20"/>
  <c r="P33" i="20"/>
  <c r="P35" i="20" s="1"/>
  <c r="M36" i="20"/>
  <c r="F70" i="20"/>
  <c r="M54" i="20"/>
  <c r="Y30" i="7"/>
  <c r="J36" i="20"/>
  <c r="G36" i="20"/>
  <c r="H36" i="20"/>
  <c r="H61" i="20" s="1"/>
  <c r="J54" i="20"/>
  <c r="O47" i="20"/>
  <c r="F36" i="20"/>
  <c r="I36" i="20"/>
  <c r="I61" i="20" s="1"/>
  <c r="Q36" i="20"/>
  <c r="Q61" i="20" s="1"/>
  <c r="F54" i="20"/>
  <c r="O44" i="20"/>
  <c r="K35" i="20"/>
  <c r="K36" i="20" s="1"/>
  <c r="G54" i="20"/>
  <c r="P57" i="20"/>
  <c r="P59" i="20" s="1"/>
  <c r="E54" i="20"/>
  <c r="P45" i="20"/>
  <c r="P44" i="20"/>
  <c r="P46" i="20"/>
  <c r="P39" i="20"/>
  <c r="P41" i="20" s="1"/>
  <c r="O33" i="20"/>
  <c r="O35" i="20" s="1"/>
  <c r="O36" i="20" s="1"/>
  <c r="P29" i="20"/>
  <c r="P31" i="20" s="1"/>
  <c r="L31" i="20"/>
  <c r="L36" i="20" s="1"/>
  <c r="E36" i="20"/>
  <c r="E61" i="20" s="1"/>
  <c r="E63" i="20" s="1"/>
  <c r="E64" i="20" s="1"/>
  <c r="O24" i="20"/>
  <c r="O26" i="20" s="1"/>
  <c r="P24" i="20"/>
  <c r="P26" i="20" s="1"/>
  <c r="P19" i="20"/>
  <c r="P21" i="20" s="1"/>
  <c r="L21" i="20"/>
  <c r="K54" i="20"/>
  <c r="L53" i="20"/>
  <c r="O39" i="20"/>
  <c r="O41" i="20" s="1"/>
  <c r="K41" i="20"/>
  <c r="L49" i="20"/>
  <c r="O57" i="20"/>
  <c r="O59" i="20" s="1"/>
  <c r="K59" i="20"/>
  <c r="P51" i="20"/>
  <c r="P53" i="20" s="1"/>
  <c r="O49" i="20" l="1"/>
  <c r="O54" i="20" s="1"/>
  <c r="P36" i="20"/>
  <c r="M61" i="20"/>
  <c r="P49" i="20"/>
  <c r="P54" i="20" s="1"/>
  <c r="F61" i="20"/>
  <c r="J61" i="20"/>
  <c r="G61" i="20"/>
  <c r="K61" i="20"/>
  <c r="L54" i="20"/>
  <c r="L61" i="20" s="1"/>
  <c r="O61" i="20"/>
  <c r="P61" i="20" l="1"/>
  <c r="I14" i="23" s="1"/>
  <c r="F64" i="20"/>
  <c r="O64" i="20"/>
  <c r="J30" i="22"/>
  <c r="I24" i="23" s="1"/>
  <c r="H245" i="4"/>
  <c r="G775" i="4"/>
  <c r="B90" i="18"/>
  <c r="G408" i="4"/>
  <c r="L933" i="4"/>
  <c r="L932" i="4"/>
  <c r="H246" i="4"/>
  <c r="G367" i="4"/>
  <c r="P64" i="20" l="1"/>
  <c r="L30" i="22"/>
  <c r="M37" i="22" s="1"/>
  <c r="K37" i="22"/>
  <c r="L935" i="4"/>
  <c r="D32" i="18"/>
  <c r="D33" i="18"/>
  <c r="D34" i="18"/>
  <c r="D35" i="18"/>
  <c r="D36" i="18"/>
  <c r="D37" i="18"/>
  <c r="D31" i="18"/>
  <c r="D26" i="18"/>
  <c r="D27" i="18"/>
  <c r="D28" i="18"/>
  <c r="D29" i="18"/>
  <c r="D30" i="18"/>
  <c r="G292" i="4"/>
  <c r="G288" i="4"/>
  <c r="G225" i="4"/>
  <c r="H4" i="14" l="1"/>
  <c r="G261" i="14"/>
  <c r="G260" i="14"/>
  <c r="G383" i="14"/>
  <c r="G259" i="14"/>
  <c r="G382" i="14"/>
  <c r="G94" i="14"/>
  <c r="G123" i="14"/>
  <c r="G39" i="14"/>
  <c r="G258" i="14"/>
  <c r="G381" i="14"/>
  <c r="G395" i="14"/>
  <c r="G285" i="14"/>
  <c r="G380" i="14"/>
  <c r="G69" i="14"/>
  <c r="G269" i="14"/>
  <c r="G257" i="14"/>
  <c r="G262" i="14"/>
  <c r="G379" i="14"/>
  <c r="G378" i="14"/>
  <c r="G256" i="14"/>
  <c r="G255" i="14"/>
  <c r="G254" i="14"/>
  <c r="G377" i="14"/>
  <c r="G253" i="14"/>
  <c r="G252" i="14"/>
  <c r="G376" i="14"/>
  <c r="G251" i="14"/>
  <c r="G250" i="14"/>
  <c r="G249" i="14"/>
  <c r="G248" i="14"/>
  <c r="G93" i="14"/>
  <c r="G375" i="14"/>
  <c r="G374" i="14"/>
  <c r="G59" i="14"/>
  <c r="G247" i="14"/>
  <c r="G373" i="14"/>
  <c r="G122" i="14"/>
  <c r="G246" i="14"/>
  <c r="G245" i="14"/>
  <c r="G121" i="14"/>
  <c r="G284" i="14"/>
  <c r="G244" i="14"/>
  <c r="G120" i="14"/>
  <c r="G243" i="14"/>
  <c r="G372" i="14"/>
  <c r="G425" i="14"/>
  <c r="G242" i="14"/>
  <c r="G241" i="14"/>
  <c r="G240" i="14"/>
  <c r="G371" i="14"/>
  <c r="G370" i="14"/>
  <c r="G119" i="14"/>
  <c r="G292" i="14"/>
  <c r="G283" i="14"/>
  <c r="G239" i="14"/>
  <c r="G291" i="14"/>
  <c r="G268" i="14"/>
  <c r="G267" i="14"/>
  <c r="G238" i="14"/>
  <c r="G424" i="14"/>
  <c r="G237" i="14"/>
  <c r="G236" i="14"/>
  <c r="G369" i="14"/>
  <c r="G368" i="14"/>
  <c r="G367" i="14"/>
  <c r="G97" i="14"/>
  <c r="G235" i="14"/>
  <c r="G366" i="14"/>
  <c r="G266" i="14"/>
  <c r="G423" i="14"/>
  <c r="G399" i="14"/>
  <c r="G92" i="14"/>
  <c r="G91" i="14"/>
  <c r="G422" i="14"/>
  <c r="G365" i="14"/>
  <c r="G234" i="14"/>
  <c r="G233" i="14"/>
  <c r="G364" i="14"/>
  <c r="G232" i="14"/>
  <c r="G421" i="14"/>
  <c r="G76" i="14"/>
  <c r="G231" i="14"/>
  <c r="G363" i="14"/>
  <c r="G420" i="14"/>
  <c r="G131" i="14"/>
  <c r="G90" i="14"/>
  <c r="G419" i="14"/>
  <c r="G362" i="14"/>
  <c r="G40" i="14"/>
  <c r="G230" i="14"/>
  <c r="G130" i="14"/>
  <c r="G229" i="14"/>
  <c r="G361" i="14"/>
  <c r="G89" i="14"/>
  <c r="G228" i="14"/>
  <c r="G135" i="14"/>
  <c r="G118" i="14"/>
  <c r="G117" i="14"/>
  <c r="G227" i="14"/>
  <c r="G360" i="14"/>
  <c r="G265" i="14"/>
  <c r="G226" i="14"/>
  <c r="G225" i="14"/>
  <c r="G359" i="14"/>
  <c r="G358" i="14"/>
  <c r="G357" i="14"/>
  <c r="G282" i="14"/>
  <c r="G356" i="14"/>
  <c r="G290" i="14"/>
  <c r="G224" i="14"/>
  <c r="G223" i="14"/>
  <c r="G222" i="14"/>
  <c r="G221" i="14"/>
  <c r="G355" i="14"/>
  <c r="G220" i="14"/>
  <c r="G219" i="14"/>
  <c r="G354" i="14"/>
  <c r="G218" i="14"/>
  <c r="G353" i="14"/>
  <c r="G96" i="14"/>
  <c r="G352" i="14"/>
  <c r="G125" i="14"/>
  <c r="G351" i="14"/>
  <c r="G217" i="14"/>
  <c r="G129" i="14"/>
  <c r="G216" i="14"/>
  <c r="G215" i="14"/>
  <c r="G214" i="14"/>
  <c r="G398" i="14"/>
  <c r="G350" i="14"/>
  <c r="G213" i="14"/>
  <c r="G281" i="14"/>
  <c r="G212" i="14"/>
  <c r="G280" i="14"/>
  <c r="G349" i="14"/>
  <c r="G348" i="14"/>
  <c r="G211" i="14"/>
  <c r="G210" i="14"/>
  <c r="G209" i="14"/>
  <c r="G347" i="14"/>
  <c r="G116" i="14"/>
  <c r="G346" i="14"/>
  <c r="G345" i="14"/>
  <c r="G344" i="14"/>
  <c r="G418" i="14"/>
  <c r="G343" i="14"/>
  <c r="G88" i="14"/>
  <c r="G208" i="14"/>
  <c r="G207" i="14"/>
  <c r="G115" i="14"/>
  <c r="G342" i="14"/>
  <c r="G341" i="14"/>
  <c r="G391" i="14"/>
  <c r="G340" i="14"/>
  <c r="G206" i="14"/>
  <c r="G128" i="14"/>
  <c r="G417" i="14"/>
  <c r="G114" i="14"/>
  <c r="G205" i="14"/>
  <c r="G60" i="14"/>
  <c r="G58" i="14"/>
  <c r="G339" i="14"/>
  <c r="G338" i="14"/>
  <c r="G204" i="14"/>
  <c r="G203" i="14"/>
  <c r="G202" i="14"/>
  <c r="G43" i="14"/>
  <c r="G337" i="14"/>
  <c r="G388" i="14"/>
  <c r="G336" i="14"/>
  <c r="G201" i="14"/>
  <c r="G335" i="14"/>
  <c r="G334" i="14"/>
  <c r="G416" i="14"/>
  <c r="G200" i="14"/>
  <c r="G87" i="14"/>
  <c r="G270" i="14"/>
  <c r="G333" i="14"/>
  <c r="G199" i="14"/>
  <c r="G198" i="14"/>
  <c r="G86" i="14"/>
  <c r="G197" i="14"/>
  <c r="G397" i="14"/>
  <c r="G196" i="14"/>
  <c r="G113" i="14"/>
  <c r="G332" i="14"/>
  <c r="G195" i="14"/>
  <c r="G331" i="14"/>
  <c r="G330" i="14"/>
  <c r="G329" i="14"/>
  <c r="G194" i="14"/>
  <c r="G415" i="14"/>
  <c r="G112" i="14"/>
  <c r="G279" i="14"/>
  <c r="G278" i="14"/>
  <c r="G193" i="14"/>
  <c r="G328" i="14"/>
  <c r="G192" i="14"/>
  <c r="G68" i="14"/>
  <c r="G327" i="14"/>
  <c r="G57" i="14"/>
  <c r="G191" i="14"/>
  <c r="G414" i="14"/>
  <c r="G42" i="14"/>
  <c r="G45" i="14"/>
  <c r="G75" i="14"/>
  <c r="G413" i="14"/>
  <c r="G190" i="14"/>
  <c r="G26" i="14"/>
  <c r="G289" i="14"/>
  <c r="G326" i="14"/>
  <c r="G36" i="14"/>
  <c r="G189" i="14"/>
  <c r="G38" i="14"/>
  <c r="G188" i="14"/>
  <c r="G325" i="14"/>
  <c r="G187" i="14"/>
  <c r="G186" i="14"/>
  <c r="G67" i="14"/>
  <c r="G185" i="14"/>
  <c r="G184" i="14"/>
  <c r="G74" i="14"/>
  <c r="G183" i="14"/>
  <c r="G85" i="14"/>
  <c r="G84" i="14"/>
  <c r="G48" i="14"/>
  <c r="G20" i="14"/>
  <c r="G35" i="14"/>
  <c r="G324" i="14"/>
  <c r="G100" i="14"/>
  <c r="G182" i="14"/>
  <c r="G412" i="14"/>
  <c r="G27" i="14"/>
  <c r="G181" i="14"/>
  <c r="G323" i="14"/>
  <c r="G277" i="14"/>
  <c r="G322" i="14"/>
  <c r="G127" i="14"/>
  <c r="G44" i="14"/>
  <c r="G264" i="14"/>
  <c r="G14" i="14"/>
  <c r="G12" i="14"/>
  <c r="G9" i="14"/>
  <c r="G7" i="14"/>
  <c r="G47" i="14"/>
  <c r="G321" i="14"/>
  <c r="G411" i="14"/>
  <c r="G320" i="14"/>
  <c r="G390" i="14"/>
  <c r="G124" i="14"/>
  <c r="G180" i="14"/>
  <c r="G56" i="14"/>
  <c r="G410" i="14"/>
  <c r="G319" i="14"/>
  <c r="G179" i="14"/>
  <c r="G178" i="14"/>
  <c r="G177" i="14"/>
  <c r="G176" i="14"/>
  <c r="G111" i="14"/>
  <c r="G396" i="14"/>
  <c r="G272" i="14"/>
  <c r="G110" i="14"/>
  <c r="G10" i="14"/>
  <c r="G83" i="14"/>
  <c r="G175" i="14"/>
  <c r="G318" i="14"/>
  <c r="G174" i="14"/>
  <c r="G55" i="14"/>
  <c r="G173" i="14"/>
  <c r="G172" i="14"/>
  <c r="G171" i="14"/>
  <c r="G317" i="14"/>
  <c r="G316" i="14"/>
  <c r="G276" i="14"/>
  <c r="G109" i="14"/>
  <c r="G170" i="14"/>
  <c r="G169" i="14"/>
  <c r="G275" i="14"/>
  <c r="G315" i="14"/>
  <c r="G168" i="14"/>
  <c r="G314" i="14"/>
  <c r="G313" i="14"/>
  <c r="G167" i="14"/>
  <c r="G312" i="14"/>
  <c r="G166" i="14"/>
  <c r="G134" i="14"/>
  <c r="G311" i="14"/>
  <c r="G82" i="14"/>
  <c r="G409" i="14"/>
  <c r="G165" i="14"/>
  <c r="G164" i="14"/>
  <c r="G108" i="14"/>
  <c r="G310" i="14"/>
  <c r="G163" i="14"/>
  <c r="G309" i="14"/>
  <c r="G81" i="14"/>
  <c r="G385" i="14"/>
  <c r="G162" i="14"/>
  <c r="G308" i="14"/>
  <c r="G161" i="14"/>
  <c r="G160" i="14"/>
  <c r="G307" i="14"/>
  <c r="G107" i="14"/>
  <c r="G274" i="14"/>
  <c r="G41" i="14"/>
  <c r="G159" i="14"/>
  <c r="G158" i="14"/>
  <c r="G157" i="14"/>
  <c r="G73" i="14"/>
  <c r="G156" i="14"/>
  <c r="G306" i="14"/>
  <c r="G305" i="14"/>
  <c r="G155" i="14"/>
  <c r="G46" i="14"/>
  <c r="G387" i="14"/>
  <c r="G106" i="14"/>
  <c r="G154" i="14"/>
  <c r="G153" i="14"/>
  <c r="G152" i="14"/>
  <c r="G304" i="14"/>
  <c r="G151" i="14"/>
  <c r="G105" i="14"/>
  <c r="G150" i="14"/>
  <c r="G303" i="14"/>
  <c r="G149" i="14"/>
  <c r="G148" i="14"/>
  <c r="G104" i="14"/>
  <c r="G103" i="14"/>
  <c r="G147" i="14"/>
  <c r="G146" i="14"/>
  <c r="G302" i="14"/>
  <c r="G145" i="14"/>
  <c r="G144" i="14"/>
  <c r="G29" i="14"/>
  <c r="G72" i="14"/>
  <c r="G301" i="14"/>
  <c r="G143" i="14"/>
  <c r="G300" i="14"/>
  <c r="G142" i="14"/>
  <c r="G141" i="14"/>
  <c r="G54" i="14"/>
  <c r="G408" i="14"/>
  <c r="G140" i="14"/>
  <c r="G80" i="14"/>
  <c r="G79" i="14"/>
  <c r="G299" i="14"/>
  <c r="G298" i="14"/>
  <c r="G407" i="14"/>
  <c r="G297" i="14"/>
  <c r="G273" i="14"/>
  <c r="G384" i="14"/>
  <c r="G99" i="14"/>
  <c r="G296" i="14"/>
  <c r="G53" i="14"/>
  <c r="G263" i="14"/>
  <c r="G139" i="14"/>
  <c r="G138" i="14"/>
  <c r="G101" i="14"/>
  <c r="G52" i="14"/>
  <c r="G98" i="14"/>
  <c r="G288" i="14"/>
  <c r="G66" i="14"/>
  <c r="G22" i="14"/>
  <c r="G19" i="14"/>
  <c r="G24" i="14"/>
  <c r="G23" i="14"/>
  <c r="G295" i="14"/>
  <c r="G102" i="14"/>
  <c r="G406" i="14"/>
  <c r="G11" i="14"/>
  <c r="G15" i="14"/>
  <c r="G405" i="14"/>
  <c r="G294" i="14"/>
  <c r="G51" i="14"/>
  <c r="G132" i="14"/>
  <c r="G34" i="14"/>
  <c r="G33" i="14"/>
  <c r="G4" i="14"/>
  <c r="G16" i="14"/>
  <c r="G21" i="14"/>
  <c r="G8" i="14"/>
  <c r="G61" i="14"/>
  <c r="G13" i="14"/>
  <c r="G65" i="14"/>
  <c r="G18" i="14"/>
  <c r="G49" i="14"/>
  <c r="G78" i="14"/>
  <c r="G64" i="14"/>
  <c r="G63" i="14"/>
  <c r="G17" i="14"/>
  <c r="G133" i="14"/>
  <c r="G293" i="14"/>
  <c r="G77" i="14"/>
  <c r="G71" i="14"/>
  <c r="G137" i="14"/>
  <c r="G6" i="14"/>
  <c r="G62" i="14"/>
  <c r="G70" i="14"/>
  <c r="G394" i="14"/>
  <c r="G402" i="14"/>
  <c r="G401" i="14"/>
  <c r="G400" i="14"/>
  <c r="G393" i="14"/>
  <c r="G389" i="14"/>
  <c r="G386" i="14"/>
  <c r="G392" i="14"/>
  <c r="G136" i="14"/>
  <c r="G95" i="14"/>
  <c r="G5" i="14"/>
  <c r="G126" i="14"/>
  <c r="G32" i="14"/>
  <c r="G50" i="14"/>
  <c r="G25" i="14"/>
  <c r="G28" i="14"/>
  <c r="G30" i="14"/>
  <c r="G37" i="14"/>
  <c r="G31" i="14"/>
  <c r="G404" i="14"/>
  <c r="G271" i="14"/>
  <c r="G287" i="14"/>
  <c r="G286" i="14"/>
  <c r="G403" i="14"/>
  <c r="G420" i="4" l="1"/>
  <c r="G40" i="4" s="1"/>
  <c r="G868" i="4"/>
  <c r="G867" i="4"/>
  <c r="H8" i="37" l="1"/>
  <c r="O8" i="39"/>
  <c r="C42" i="30"/>
  <c r="G245" i="4"/>
  <c r="G246" i="4"/>
  <c r="G289" i="1" l="1"/>
  <c r="J281" i="1"/>
  <c r="G281" i="1"/>
  <c r="J439" i="1"/>
  <c r="G439" i="1"/>
  <c r="J287" i="1"/>
  <c r="G287" i="1"/>
  <c r="J96" i="1"/>
  <c r="G96" i="1"/>
  <c r="J193" i="1"/>
  <c r="G193" i="1"/>
  <c r="J289" i="1"/>
  <c r="G503" i="4"/>
  <c r="G522" i="4"/>
  <c r="G508" i="4"/>
  <c r="H532" i="4"/>
  <c r="G502" i="4"/>
  <c r="H533" i="4"/>
  <c r="L505" i="4"/>
  <c r="G531" i="4"/>
  <c r="G490" i="4"/>
  <c r="G524" i="4"/>
  <c r="G529" i="4"/>
  <c r="G506" i="4"/>
  <c r="G510" i="4"/>
  <c r="G512" i="4"/>
  <c r="G548" i="4"/>
  <c r="G528" i="4"/>
  <c r="G509" i="4"/>
  <c r="G530" i="4"/>
  <c r="G477" i="4"/>
  <c r="H531" i="4"/>
  <c r="L504" i="4"/>
  <c r="G533" i="4"/>
  <c r="G532" i="4"/>
  <c r="G526" i="4"/>
  <c r="G523" i="4"/>
  <c r="L506" i="4"/>
  <c r="G525" i="4"/>
  <c r="G535" i="4"/>
  <c r="R28" i="5" l="1"/>
  <c r="R29" i="5"/>
  <c r="P31" i="5"/>
  <c r="M30" i="5" s="1"/>
  <c r="P30" i="5" s="1"/>
  <c r="M29" i="5" s="1"/>
  <c r="P29" i="5" s="1"/>
  <c r="M28" i="5" s="1"/>
  <c r="P28" i="5" s="1"/>
  <c r="G611" i="4" l="1"/>
  <c r="G607" i="4"/>
  <c r="G597" i="4"/>
  <c r="G581" i="4"/>
  <c r="I11" i="5" l="1"/>
  <c r="H11" i="5"/>
  <c r="G11" i="5"/>
  <c r="F11" i="5"/>
  <c r="E11" i="5"/>
  <c r="D11" i="5"/>
  <c r="C11" i="5"/>
  <c r="B11" i="5"/>
  <c r="B17" i="5"/>
  <c r="I75" i="5"/>
  <c r="H75" i="5"/>
  <c r="H77" i="5" s="1"/>
  <c r="G75" i="5"/>
  <c r="F75" i="5"/>
  <c r="G62" i="5"/>
  <c r="C67" i="5"/>
  <c r="G10" i="5" s="1"/>
  <c r="C65" i="5"/>
  <c r="E10" i="5" s="1"/>
  <c r="C62" i="5"/>
  <c r="B10" i="5" s="1"/>
  <c r="D73" i="5" l="1"/>
  <c r="D75" i="5" s="1"/>
  <c r="D77" i="5" l="1"/>
  <c r="J11" i="5"/>
  <c r="C27" i="18"/>
  <c r="C28" i="18"/>
  <c r="C29" i="18"/>
  <c r="C30" i="18"/>
  <c r="C32" i="18"/>
  <c r="C33" i="18"/>
  <c r="C34" i="18"/>
  <c r="C35" i="18"/>
  <c r="C36" i="18"/>
  <c r="C26" i="18"/>
  <c r="E5" i="18"/>
  <c r="C31" i="18"/>
  <c r="E6" i="18"/>
  <c r="D68" i="18"/>
  <c r="D6" i="18" s="1"/>
  <c r="C82" i="18"/>
  <c r="H6" i="18" s="1"/>
  <c r="G423" i="40" s="1"/>
  <c r="G681" i="40" l="1"/>
  <c r="G429" i="40"/>
  <c r="G40" i="40" s="1"/>
  <c r="G409" i="4"/>
  <c r="D38" i="18"/>
  <c r="D5" i="18" s="1"/>
  <c r="D7" i="18" s="1"/>
  <c r="C37" i="18"/>
  <c r="N17" i="19"/>
  <c r="M17" i="19"/>
  <c r="D17" i="19"/>
  <c r="C17" i="19"/>
  <c r="O6" i="19"/>
  <c r="O7" i="19"/>
  <c r="O8" i="19"/>
  <c r="O9" i="19"/>
  <c r="O10" i="19"/>
  <c r="O11" i="19"/>
  <c r="O12" i="19"/>
  <c r="O13" i="19"/>
  <c r="O14" i="19"/>
  <c r="O15" i="19"/>
  <c r="O16" i="19"/>
  <c r="O5" i="19"/>
  <c r="E6" i="19"/>
  <c r="E7" i="19"/>
  <c r="E8" i="19"/>
  <c r="E9" i="19"/>
  <c r="E10" i="19"/>
  <c r="E11" i="19"/>
  <c r="E12" i="19"/>
  <c r="E13" i="19"/>
  <c r="E14" i="19"/>
  <c r="E15" i="19"/>
  <c r="E16" i="19"/>
  <c r="E5" i="19"/>
  <c r="C68" i="18"/>
  <c r="H7" i="18" s="1"/>
  <c r="E54" i="18"/>
  <c r="D54" i="18"/>
  <c r="C54" i="18"/>
  <c r="F53" i="18"/>
  <c r="F52" i="18"/>
  <c r="F51" i="18"/>
  <c r="F50" i="18"/>
  <c r="F49" i="18"/>
  <c r="F48" i="18"/>
  <c r="F47" i="18"/>
  <c r="F46" i="18"/>
  <c r="F45" i="18"/>
  <c r="I44" i="18"/>
  <c r="G42" i="18"/>
  <c r="B43" i="18" s="1"/>
  <c r="G43" i="18" s="1"/>
  <c r="B44" i="18" s="1"/>
  <c r="G44" i="18" s="1"/>
  <c r="B45" i="18" s="1"/>
  <c r="G45" i="18" s="1"/>
  <c r="B46" i="18" s="1"/>
  <c r="G46" i="18" s="1"/>
  <c r="B47" i="18" s="1"/>
  <c r="G47" i="18" s="1"/>
  <c r="B48" i="18" s="1"/>
  <c r="G48" i="18" s="1"/>
  <c r="B49" i="18" s="1"/>
  <c r="G49" i="18" s="1"/>
  <c r="B50" i="18" s="1"/>
  <c r="G50" i="18" s="1"/>
  <c r="B51" i="18" s="1"/>
  <c r="G51" i="18" s="1"/>
  <c r="B52" i="18" s="1"/>
  <c r="G52" i="18" s="1"/>
  <c r="B53" i="18" s="1"/>
  <c r="G53" i="18" s="1"/>
  <c r="M39" i="18"/>
  <c r="E21" i="18"/>
  <c r="G7" i="18" s="1"/>
  <c r="D21" i="18"/>
  <c r="L20" i="18"/>
  <c r="G9" i="18" s="1"/>
  <c r="J19" i="18"/>
  <c r="M18" i="18"/>
  <c r="K17" i="18"/>
  <c r="K20" i="18" s="1"/>
  <c r="D9" i="18" s="1"/>
  <c r="J17" i="18"/>
  <c r="J16" i="18"/>
  <c r="N16" i="18" s="1"/>
  <c r="I17" i="18" s="1"/>
  <c r="F16" i="18"/>
  <c r="B17" i="18" s="1"/>
  <c r="F17" i="18" s="1"/>
  <c r="B18" i="18" s="1"/>
  <c r="F18" i="18" s="1"/>
  <c r="B19" i="18" s="1"/>
  <c r="F19" i="18" s="1"/>
  <c r="B20" i="18" s="1"/>
  <c r="F20" i="18" s="1"/>
  <c r="B6" i="18"/>
  <c r="I5" i="18"/>
  <c r="F5" i="18"/>
  <c r="E7" i="18"/>
  <c r="G372" i="4"/>
  <c r="G385" i="40"/>
  <c r="G679" i="40" l="1"/>
  <c r="G682" i="40" s="1"/>
  <c r="G392" i="40"/>
  <c r="G34" i="40" s="1"/>
  <c r="J34" i="40" s="1"/>
  <c r="G45" i="40"/>
  <c r="G656" i="40"/>
  <c r="G659" i="40" s="1"/>
  <c r="O9" i="39"/>
  <c r="H9" i="37"/>
  <c r="E17" i="19"/>
  <c r="O17" i="19"/>
  <c r="B23" i="18"/>
  <c r="D23" i="18" s="1"/>
  <c r="B26" i="18"/>
  <c r="F26" i="18" s="1"/>
  <c r="B27" i="18" s="1"/>
  <c r="F27" i="18" s="1"/>
  <c r="B28" i="18" s="1"/>
  <c r="F28" i="18" s="1"/>
  <c r="B29" i="18" s="1"/>
  <c r="F29" i="18" s="1"/>
  <c r="B30" i="18" s="1"/>
  <c r="F30" i="18" s="1"/>
  <c r="B31" i="18" s="1"/>
  <c r="F31" i="18" s="1"/>
  <c r="B32" i="18" s="1"/>
  <c r="F32" i="18" s="1"/>
  <c r="B33" i="18" s="1"/>
  <c r="F33" i="18" s="1"/>
  <c r="B34" i="18" s="1"/>
  <c r="F34" i="18" s="1"/>
  <c r="B35" i="18" s="1"/>
  <c r="F35" i="18" s="1"/>
  <c r="B36" i="18" s="1"/>
  <c r="F36" i="18" s="1"/>
  <c r="B37" i="18" s="1"/>
  <c r="F37" i="18" s="1"/>
  <c r="I54" i="18"/>
  <c r="N17" i="18"/>
  <c r="I18" i="18" s="1"/>
  <c r="N18" i="18" s="1"/>
  <c r="I19" i="18" s="1"/>
  <c r="N19" i="18" s="1"/>
  <c r="I21" i="18" s="1"/>
  <c r="N22" i="18" s="1"/>
  <c r="I22" i="18" s="1"/>
  <c r="N23" i="18" s="1"/>
  <c r="I23" i="18" s="1"/>
  <c r="N24" i="18" s="1"/>
  <c r="I24" i="18" s="1"/>
  <c r="N36" i="18" s="1"/>
  <c r="F23" i="18"/>
  <c r="B24" i="18" s="1"/>
  <c r="B56" i="18"/>
  <c r="F6" i="18"/>
  <c r="F7" i="18" s="1"/>
  <c r="D13" i="16"/>
  <c r="C7" i="18" l="1"/>
  <c r="I6" i="18"/>
  <c r="I7" i="18" s="1"/>
  <c r="E56" i="18"/>
  <c r="G56" i="18" s="1"/>
  <c r="B57" i="18" s="1"/>
  <c r="I29" i="15"/>
  <c r="I19" i="15"/>
  <c r="I18" i="15"/>
  <c r="I14" i="15"/>
  <c r="I10" i="15"/>
  <c r="I32" i="15" s="1"/>
  <c r="L8" i="15"/>
  <c r="L9" i="15" s="1"/>
  <c r="E261" i="14"/>
  <c r="E260" i="14"/>
  <c r="E383" i="14"/>
  <c r="E259" i="14"/>
  <c r="E382" i="14"/>
  <c r="E94" i="14"/>
  <c r="E123" i="14"/>
  <c r="E39" i="14"/>
  <c r="E258" i="14"/>
  <c r="E381" i="14"/>
  <c r="E395" i="14"/>
  <c r="E285" i="14"/>
  <c r="E380" i="14"/>
  <c r="E69" i="14"/>
  <c r="E269" i="14"/>
  <c r="E257" i="14"/>
  <c r="E262" i="14"/>
  <c r="E379" i="14"/>
  <c r="E378" i="14"/>
  <c r="E256" i="14"/>
  <c r="E255" i="14"/>
  <c r="E254" i="14"/>
  <c r="E377" i="14"/>
  <c r="E253" i="14"/>
  <c r="E252" i="14"/>
  <c r="E376" i="14"/>
  <c r="E251" i="14"/>
  <c r="E250" i="14"/>
  <c r="E249" i="14"/>
  <c r="E248" i="14"/>
  <c r="E93" i="14"/>
  <c r="E375" i="14"/>
  <c r="E374" i="14"/>
  <c r="E59" i="14"/>
  <c r="E247" i="14"/>
  <c r="E373" i="14"/>
  <c r="E122" i="14"/>
  <c r="E246" i="14"/>
  <c r="E245" i="14"/>
  <c r="E121" i="14"/>
  <c r="E284" i="14"/>
  <c r="E244" i="14"/>
  <c r="E120" i="14"/>
  <c r="E243" i="14"/>
  <c r="E372" i="14"/>
  <c r="E425" i="14"/>
  <c r="E242" i="14"/>
  <c r="E241" i="14"/>
  <c r="E240" i="14"/>
  <c r="E371" i="14"/>
  <c r="E370" i="14"/>
  <c r="E119" i="14"/>
  <c r="E292" i="14"/>
  <c r="E283" i="14"/>
  <c r="E239" i="14"/>
  <c r="E291" i="14"/>
  <c r="E268" i="14"/>
  <c r="E267" i="14"/>
  <c r="E238" i="14"/>
  <c r="E424" i="14"/>
  <c r="E237" i="14"/>
  <c r="E236" i="14"/>
  <c r="E369" i="14"/>
  <c r="E368" i="14"/>
  <c r="E367" i="14"/>
  <c r="E97" i="14"/>
  <c r="E235" i="14"/>
  <c r="E366" i="14"/>
  <c r="E266" i="14"/>
  <c r="E423" i="14"/>
  <c r="E399" i="14"/>
  <c r="E92" i="14"/>
  <c r="E91" i="14"/>
  <c r="E422" i="14"/>
  <c r="E365" i="14"/>
  <c r="E234" i="14"/>
  <c r="E233" i="14"/>
  <c r="E364" i="14"/>
  <c r="E232" i="14"/>
  <c r="E421" i="14"/>
  <c r="E76" i="14"/>
  <c r="E231" i="14"/>
  <c r="E363" i="14"/>
  <c r="E420" i="14"/>
  <c r="E131" i="14"/>
  <c r="E90" i="14"/>
  <c r="E419" i="14"/>
  <c r="E362" i="14"/>
  <c r="E40" i="14"/>
  <c r="E230" i="14"/>
  <c r="E130" i="14"/>
  <c r="E229" i="14"/>
  <c r="E361" i="14"/>
  <c r="E89" i="14"/>
  <c r="E228" i="14"/>
  <c r="E135" i="14"/>
  <c r="E118" i="14"/>
  <c r="E117" i="14"/>
  <c r="E227" i="14"/>
  <c r="E360" i="14"/>
  <c r="E265" i="14"/>
  <c r="E226" i="14"/>
  <c r="E225" i="14"/>
  <c r="E359" i="14"/>
  <c r="E358" i="14"/>
  <c r="E357" i="14"/>
  <c r="E282" i="14"/>
  <c r="E356" i="14"/>
  <c r="E290" i="14"/>
  <c r="E224" i="14"/>
  <c r="E223" i="14"/>
  <c r="E222" i="14"/>
  <c r="E221" i="14"/>
  <c r="E355" i="14"/>
  <c r="E220" i="14"/>
  <c r="E219" i="14"/>
  <c r="E354" i="14"/>
  <c r="E218" i="14"/>
  <c r="E353" i="14"/>
  <c r="E96" i="14"/>
  <c r="E352" i="14"/>
  <c r="E125" i="14"/>
  <c r="E351" i="14"/>
  <c r="E217" i="14"/>
  <c r="E129" i="14"/>
  <c r="E216" i="14"/>
  <c r="E215" i="14"/>
  <c r="E214" i="14"/>
  <c r="E398" i="14"/>
  <c r="E350" i="14"/>
  <c r="E213" i="14"/>
  <c r="E281" i="14"/>
  <c r="E212" i="14"/>
  <c r="E280" i="14"/>
  <c r="E349" i="14"/>
  <c r="E348" i="14"/>
  <c r="E211" i="14"/>
  <c r="E210" i="14"/>
  <c r="E209" i="14"/>
  <c r="E347" i="14"/>
  <c r="E116" i="14"/>
  <c r="E346" i="14"/>
  <c r="E345" i="14"/>
  <c r="E344" i="14"/>
  <c r="E418" i="14"/>
  <c r="E343" i="14"/>
  <c r="E88" i="14"/>
  <c r="E208" i="14"/>
  <c r="E207" i="14"/>
  <c r="E115" i="14"/>
  <c r="E342" i="14"/>
  <c r="E341" i="14"/>
  <c r="E391" i="14"/>
  <c r="E340" i="14"/>
  <c r="E206" i="14"/>
  <c r="E128" i="14"/>
  <c r="E417" i="14"/>
  <c r="E114" i="14"/>
  <c r="E205" i="14"/>
  <c r="E60" i="14"/>
  <c r="E58" i="14"/>
  <c r="E339" i="14"/>
  <c r="E338" i="14"/>
  <c r="E204" i="14"/>
  <c r="E203" i="14"/>
  <c r="E202" i="14"/>
  <c r="E43" i="14"/>
  <c r="E337" i="14"/>
  <c r="E388" i="14"/>
  <c r="E336" i="14"/>
  <c r="E201" i="14"/>
  <c r="E335" i="14"/>
  <c r="E334" i="14"/>
  <c r="E416" i="14"/>
  <c r="E200" i="14"/>
  <c r="E87" i="14"/>
  <c r="E270" i="14"/>
  <c r="E333" i="14"/>
  <c r="E199" i="14"/>
  <c r="E198" i="14"/>
  <c r="E86" i="14"/>
  <c r="E197" i="14"/>
  <c r="E397" i="14"/>
  <c r="E196" i="14"/>
  <c r="E113" i="14"/>
  <c r="E332" i="14"/>
  <c r="E195" i="14"/>
  <c r="E331" i="14"/>
  <c r="E330" i="14"/>
  <c r="E329" i="14"/>
  <c r="E194" i="14"/>
  <c r="E415" i="14"/>
  <c r="E112" i="14"/>
  <c r="E279" i="14"/>
  <c r="E278" i="14"/>
  <c r="E193" i="14"/>
  <c r="E328" i="14"/>
  <c r="E192" i="14"/>
  <c r="E68" i="14"/>
  <c r="E327" i="14"/>
  <c r="E57" i="14"/>
  <c r="E191" i="14"/>
  <c r="E414" i="14"/>
  <c r="E42" i="14"/>
  <c r="E45" i="14"/>
  <c r="E75" i="14"/>
  <c r="E413" i="14"/>
  <c r="E190" i="14"/>
  <c r="E26" i="14"/>
  <c r="E289" i="14"/>
  <c r="E326" i="14"/>
  <c r="E36" i="14"/>
  <c r="E189" i="14"/>
  <c r="E38" i="14"/>
  <c r="E188" i="14"/>
  <c r="E325" i="14"/>
  <c r="E187" i="14"/>
  <c r="E186" i="14"/>
  <c r="E67" i="14"/>
  <c r="E185" i="14"/>
  <c r="E184" i="14"/>
  <c r="E74" i="14"/>
  <c r="E183" i="14"/>
  <c r="E85" i="14"/>
  <c r="E84" i="14"/>
  <c r="E48" i="14"/>
  <c r="E20" i="14"/>
  <c r="E35" i="14"/>
  <c r="E324" i="14"/>
  <c r="E412" i="14"/>
  <c r="E27" i="14"/>
  <c r="E181" i="14"/>
  <c r="E323" i="14"/>
  <c r="E277" i="14"/>
  <c r="E44" i="14"/>
  <c r="E264" i="14"/>
  <c r="E14" i="14"/>
  <c r="E12" i="14"/>
  <c r="E9" i="14"/>
  <c r="E7" i="14"/>
  <c r="E47" i="14"/>
  <c r="E321" i="14"/>
  <c r="E411" i="14"/>
  <c r="E320" i="14"/>
  <c r="E390" i="14"/>
  <c r="E124" i="14"/>
  <c r="E180" i="14"/>
  <c r="E56" i="14"/>
  <c r="E410" i="14"/>
  <c r="E319" i="14"/>
  <c r="E179" i="14"/>
  <c r="E178" i="14"/>
  <c r="E177" i="14"/>
  <c r="E176" i="14"/>
  <c r="E396" i="14"/>
  <c r="E272" i="14"/>
  <c r="E110" i="14"/>
  <c r="E10" i="14"/>
  <c r="E83" i="14"/>
  <c r="E175" i="14"/>
  <c r="E318" i="14"/>
  <c r="E174" i="14"/>
  <c r="E55" i="14"/>
  <c r="E173" i="14"/>
  <c r="E172" i="14"/>
  <c r="E171" i="14"/>
  <c r="E317" i="14"/>
  <c r="E316" i="14"/>
  <c r="E276" i="14"/>
  <c r="E109" i="14"/>
  <c r="E170" i="14"/>
  <c r="E169" i="14"/>
  <c r="E275" i="14"/>
  <c r="E315" i="14"/>
  <c r="E168" i="14"/>
  <c r="E314" i="14"/>
  <c r="E313" i="14"/>
  <c r="E167" i="14"/>
  <c r="E312" i="14"/>
  <c r="E166" i="14"/>
  <c r="E134" i="14"/>
  <c r="E311" i="14"/>
  <c r="E82" i="14"/>
  <c r="E409" i="14"/>
  <c r="E165" i="14"/>
  <c r="E164" i="14"/>
  <c r="E108" i="14"/>
  <c r="E310" i="14"/>
  <c r="E163" i="14"/>
  <c r="E309" i="14"/>
  <c r="E81" i="14"/>
  <c r="E385" i="14"/>
  <c r="E162" i="14"/>
  <c r="E308" i="14"/>
  <c r="E161" i="14"/>
  <c r="E160" i="14"/>
  <c r="E307" i="14"/>
  <c r="E107" i="14"/>
  <c r="E274" i="14"/>
  <c r="E41" i="14"/>
  <c r="E159" i="14"/>
  <c r="E158" i="14"/>
  <c r="E157" i="14"/>
  <c r="E73" i="14"/>
  <c r="E156" i="14"/>
  <c r="E306" i="14"/>
  <c r="E305" i="14"/>
  <c r="E155" i="14"/>
  <c r="E46" i="14"/>
  <c r="E387" i="14"/>
  <c r="E106" i="14"/>
  <c r="E154" i="14"/>
  <c r="E153" i="14"/>
  <c r="E152" i="14"/>
  <c r="E304" i="14"/>
  <c r="E151" i="14"/>
  <c r="E105" i="14"/>
  <c r="E150" i="14"/>
  <c r="E303" i="14"/>
  <c r="E149" i="14"/>
  <c r="E148" i="14"/>
  <c r="E104" i="14"/>
  <c r="E103" i="14"/>
  <c r="E147" i="14"/>
  <c r="E146" i="14"/>
  <c r="E302" i="14"/>
  <c r="E145" i="14"/>
  <c r="E144" i="14"/>
  <c r="E29" i="14"/>
  <c r="E72" i="14"/>
  <c r="E301" i="14"/>
  <c r="E143" i="14"/>
  <c r="E300" i="14"/>
  <c r="E142" i="14"/>
  <c r="E141" i="14"/>
  <c r="E408" i="14"/>
  <c r="E140" i="14"/>
  <c r="E80" i="14"/>
  <c r="E79" i="14"/>
  <c r="E299" i="14"/>
  <c r="E407" i="14"/>
  <c r="E273" i="14"/>
  <c r="E384" i="14"/>
  <c r="E99" i="14"/>
  <c r="E53" i="14"/>
  <c r="E263" i="14"/>
  <c r="E139" i="14"/>
  <c r="E138" i="14"/>
  <c r="E101" i="14"/>
  <c r="E288" i="14"/>
  <c r="E66" i="14"/>
  <c r="E22" i="14"/>
  <c r="E19" i="14"/>
  <c r="E24" i="14"/>
  <c r="E23" i="14"/>
  <c r="E295" i="14"/>
  <c r="E102" i="14"/>
  <c r="E406" i="14"/>
  <c r="E11" i="14"/>
  <c r="E15" i="14"/>
  <c r="E405" i="14"/>
  <c r="E294" i="14"/>
  <c r="E132" i="14"/>
  <c r="E33" i="14"/>
  <c r="E16" i="14"/>
  <c r="E21" i="14"/>
  <c r="E8" i="14"/>
  <c r="E61" i="14"/>
  <c r="E13" i="14"/>
  <c r="E65" i="14"/>
  <c r="E18" i="14"/>
  <c r="E49" i="14"/>
  <c r="E78" i="14"/>
  <c r="E64" i="14"/>
  <c r="E63" i="14"/>
  <c r="E17" i="14"/>
  <c r="E293" i="14"/>
  <c r="E77" i="14"/>
  <c r="E71" i="14"/>
  <c r="E137" i="14"/>
  <c r="E6" i="14"/>
  <c r="E62" i="14"/>
  <c r="E70" i="14"/>
  <c r="E394" i="14"/>
  <c r="E402" i="14"/>
  <c r="E401" i="14"/>
  <c r="E400" i="14"/>
  <c r="E393" i="14"/>
  <c r="E389" i="14"/>
  <c r="E386" i="14"/>
  <c r="E392" i="14"/>
  <c r="E136" i="14"/>
  <c r="E95" i="14"/>
  <c r="E5" i="14"/>
  <c r="E126" i="14"/>
  <c r="E32" i="14"/>
  <c r="E50" i="14"/>
  <c r="E25" i="14"/>
  <c r="E28" i="14"/>
  <c r="E30" i="14"/>
  <c r="E37" i="14"/>
  <c r="E31" i="14"/>
  <c r="E404" i="14"/>
  <c r="E271" i="14"/>
  <c r="E287" i="14"/>
  <c r="E286" i="14"/>
  <c r="E403" i="14"/>
  <c r="I20" i="15"/>
  <c r="L10" i="15" l="1"/>
  <c r="L11" i="15" s="1"/>
  <c r="J7" i="15" s="1"/>
  <c r="J24" i="15" s="1"/>
  <c r="E57" i="18"/>
  <c r="I21" i="15"/>
  <c r="G57" i="18" l="1"/>
  <c r="B58" i="18" s="1"/>
  <c r="J21" i="15"/>
  <c r="J25" i="15" s="1"/>
  <c r="J27" i="15" s="1"/>
  <c r="I25" i="15"/>
  <c r="H17" i="13"/>
  <c r="H7" i="13"/>
  <c r="E58" i="18" l="1"/>
  <c r="G10" i="13"/>
  <c r="H10" i="13" s="1"/>
  <c r="F9" i="13"/>
  <c r="G7" i="13"/>
  <c r="H32" i="13"/>
  <c r="I20" i="13"/>
  <c r="K19" i="13"/>
  <c r="K23" i="13" s="1"/>
  <c r="K24" i="13" s="1"/>
  <c r="K27" i="13" s="1"/>
  <c r="J10" i="13"/>
  <c r="I9" i="13"/>
  <c r="M10" i="13" s="1"/>
  <c r="K9" i="13"/>
  <c r="E32" i="13"/>
  <c r="C13" i="13"/>
  <c r="C23" i="13" s="1"/>
  <c r="C24" i="13" s="1"/>
  <c r="C9" i="13"/>
  <c r="L10" i="13" s="1"/>
  <c r="P44" i="9"/>
  <c r="F45" i="9" s="1"/>
  <c r="P45" i="9"/>
  <c r="F46" i="9" s="1"/>
  <c r="P46" i="9"/>
  <c r="F47" i="9" s="1"/>
  <c r="G47" i="9" s="1"/>
  <c r="P47" i="9"/>
  <c r="F48" i="9" s="1"/>
  <c r="P48" i="9"/>
  <c r="F49" i="9" s="1"/>
  <c r="P49" i="9"/>
  <c r="F50" i="9" s="1"/>
  <c r="P50" i="9"/>
  <c r="F51" i="9" s="1"/>
  <c r="P51" i="9"/>
  <c r="P52" i="9"/>
  <c r="F53" i="9" s="1"/>
  <c r="P43" i="9"/>
  <c r="F44" i="9" s="1"/>
  <c r="P21" i="8"/>
  <c r="Q21" i="8"/>
  <c r="L21" i="8"/>
  <c r="E54" i="9"/>
  <c r="I199" i="3"/>
  <c r="J199" i="3"/>
  <c r="J19" i="13" l="1"/>
  <c r="K20" i="13"/>
  <c r="J20" i="13" s="1"/>
  <c r="G58" i="18"/>
  <c r="B59" i="18" s="1"/>
  <c r="K29" i="13"/>
  <c r="K32" i="13" s="1"/>
  <c r="K33" i="13" s="1"/>
  <c r="C19" i="13"/>
  <c r="C20" i="13" s="1"/>
  <c r="V14" i="7"/>
  <c r="V13" i="7"/>
  <c r="V12" i="7"/>
  <c r="X16" i="7"/>
  <c r="Z22" i="7" s="1"/>
  <c r="AB22" i="7" s="1"/>
  <c r="V16" i="7"/>
  <c r="X15" i="7"/>
  <c r="Z23" i="7" s="1"/>
  <c r="AB23" i="7" s="1"/>
  <c r="X14" i="7"/>
  <c r="X13" i="7"/>
  <c r="X12" i="7"/>
  <c r="Z21" i="7" l="1"/>
  <c r="Z30" i="7" s="1"/>
  <c r="E59" i="18"/>
  <c r="M9" i="13"/>
  <c r="D35" i="12"/>
  <c r="C35" i="12"/>
  <c r="B35" i="12"/>
  <c r="D34" i="12"/>
  <c r="C34" i="12"/>
  <c r="B34" i="12"/>
  <c r="D33" i="12"/>
  <c r="C33" i="12"/>
  <c r="B33" i="12"/>
  <c r="C25" i="12"/>
  <c r="H23" i="12"/>
  <c r="I27" i="12" s="1"/>
  <c r="C23" i="12"/>
  <c r="D27" i="12" s="1"/>
  <c r="J21" i="12"/>
  <c r="E21" i="12"/>
  <c r="J20" i="12"/>
  <c r="E20" i="12"/>
  <c r="I19" i="12"/>
  <c r="J19" i="12" s="1"/>
  <c r="D19" i="12"/>
  <c r="E19" i="12" s="1"/>
  <c r="I18" i="12"/>
  <c r="J18" i="12" s="1"/>
  <c r="D18" i="12"/>
  <c r="E18" i="12" s="1"/>
  <c r="I17" i="12"/>
  <c r="J17" i="12" s="1"/>
  <c r="D17" i="12"/>
  <c r="E17" i="12" s="1"/>
  <c r="J15" i="12"/>
  <c r="E15" i="12"/>
  <c r="J14" i="12"/>
  <c r="E14" i="12"/>
  <c r="J13" i="12"/>
  <c r="E13" i="12"/>
  <c r="I12" i="12"/>
  <c r="J12" i="12" s="1"/>
  <c r="D12" i="12"/>
  <c r="E12" i="12" s="1"/>
  <c r="I11" i="12"/>
  <c r="J11" i="12" s="1"/>
  <c r="D11" i="12"/>
  <c r="E11" i="12" s="1"/>
  <c r="I10" i="12"/>
  <c r="J10" i="12" s="1"/>
  <c r="D10" i="12"/>
  <c r="E10" i="12" s="1"/>
  <c r="I9" i="12"/>
  <c r="J9" i="12" s="1"/>
  <c r="D9" i="12"/>
  <c r="E9" i="12" s="1"/>
  <c r="J8" i="12"/>
  <c r="E8" i="12"/>
  <c r="I7" i="12"/>
  <c r="J7" i="12" s="1"/>
  <c r="D7" i="12"/>
  <c r="J6" i="12"/>
  <c r="E6" i="12"/>
  <c r="J5" i="12"/>
  <c r="E5" i="12"/>
  <c r="E35" i="12" l="1"/>
  <c r="AB21" i="7"/>
  <c r="AB30" i="7" s="1"/>
  <c r="E33" i="12"/>
  <c r="D23" i="12"/>
  <c r="D28" i="12" s="1"/>
  <c r="D29" i="12" s="1"/>
  <c r="C24" i="12"/>
  <c r="E7" i="12"/>
  <c r="E23" i="12" s="1"/>
  <c r="G59" i="18"/>
  <c r="B60" i="18" s="1"/>
  <c r="E34" i="12"/>
  <c r="E36" i="12" s="1"/>
  <c r="J23" i="12"/>
  <c r="I23" i="12"/>
  <c r="I28" i="12" s="1"/>
  <c r="I29" i="12" s="1"/>
  <c r="P22" i="7" l="1"/>
  <c r="S31" i="7" s="1"/>
  <c r="J22" i="7"/>
  <c r="E60" i="18"/>
  <c r="E24" i="12"/>
  <c r="D30" i="12"/>
  <c r="D24" i="12"/>
  <c r="G60" i="18" l="1"/>
  <c r="B61" i="18" s="1"/>
  <c r="E61" i="18" s="1"/>
  <c r="E11" i="11"/>
  <c r="F10" i="11"/>
  <c r="D8" i="11"/>
  <c r="D7" i="11"/>
  <c r="D9" i="11"/>
  <c r="G61" i="18" l="1"/>
  <c r="B62" i="18" s="1"/>
  <c r="F9" i="11"/>
  <c r="F8" i="11"/>
  <c r="D11" i="11"/>
  <c r="F7" i="11"/>
  <c r="E62" i="18" l="1"/>
  <c r="G62" i="18" s="1"/>
  <c r="B63" i="18" s="1"/>
  <c r="F11" i="11"/>
  <c r="E63" i="18" l="1"/>
  <c r="P301" i="1"/>
  <c r="I21" i="3"/>
  <c r="G491" i="4"/>
  <c r="G527" i="4"/>
  <c r="G536" i="4"/>
  <c r="G496" i="4"/>
  <c r="G472" i="4"/>
  <c r="G495" i="4"/>
  <c r="G547" i="4"/>
  <c r="G476" i="4"/>
  <c r="G543" i="4"/>
  <c r="G492" i="4"/>
  <c r="G542" i="4"/>
  <c r="G549" i="4"/>
  <c r="G541" i="4"/>
  <c r="G540" i="4"/>
  <c r="H8" i="4"/>
  <c r="G539" i="4"/>
  <c r="G546" i="4"/>
  <c r="G537" i="4"/>
  <c r="G469" i="4"/>
  <c r="G474" i="4" l="1"/>
  <c r="G621" i="4" s="1"/>
  <c r="D11" i="30"/>
  <c r="C39" i="13"/>
  <c r="E7" i="13"/>
  <c r="C38" i="13"/>
  <c r="G63" i="18"/>
  <c r="B64" i="18" s="1"/>
  <c r="E64" i="18" s="1"/>
  <c r="A21" i="10"/>
  <c r="A19" i="10"/>
  <c r="A17" i="10"/>
  <c r="G355" i="4"/>
  <c r="H355" i="4" s="1"/>
  <c r="G354" i="4"/>
  <c r="H354" i="4" s="1"/>
  <c r="G353" i="4"/>
  <c r="H353" i="4" s="1"/>
  <c r="G352" i="4"/>
  <c r="H352" i="4" s="1"/>
  <c r="G351" i="4"/>
  <c r="H351" i="4" s="1"/>
  <c r="G350" i="4"/>
  <c r="H350" i="4" s="1"/>
  <c r="G349" i="4"/>
  <c r="H349" i="4" s="1"/>
  <c r="G340" i="4"/>
  <c r="H340" i="4" s="1"/>
  <c r="G341" i="4"/>
  <c r="H341" i="4" s="1"/>
  <c r="G342" i="4"/>
  <c r="H342" i="4" s="1"/>
  <c r="G343" i="4"/>
  <c r="H343" i="4" s="1"/>
  <c r="G344" i="4"/>
  <c r="H344" i="4" s="1"/>
  <c r="G345" i="4"/>
  <c r="H345" i="4" s="1"/>
  <c r="G339" i="4"/>
  <c r="H339" i="4" s="1"/>
  <c r="D7" i="13" l="1"/>
  <c r="G64" i="18"/>
  <c r="B65" i="18" s="1"/>
  <c r="H398" i="4"/>
  <c r="H419" i="4"/>
  <c r="H372" i="4"/>
  <c r="H367" i="4"/>
  <c r="B47" i="35" l="1"/>
  <c r="B47" i="21"/>
  <c r="D40" i="31" s="1"/>
  <c r="E65" i="18"/>
  <c r="G65" i="18" l="1"/>
  <c r="B66" i="18" s="1"/>
  <c r="G51" i="9"/>
  <c r="G52" i="9"/>
  <c r="G53" i="9"/>
  <c r="I33" i="9"/>
  <c r="I26" i="9"/>
  <c r="I24" i="9"/>
  <c r="I23" i="9"/>
  <c r="I21" i="9"/>
  <c r="I20" i="9"/>
  <c r="I19" i="9"/>
  <c r="I18" i="9"/>
  <c r="I17" i="9"/>
  <c r="I16" i="9"/>
  <c r="I15" i="9"/>
  <c r="I14" i="9"/>
  <c r="I13" i="9"/>
  <c r="I11" i="9"/>
  <c r="I10" i="9"/>
  <c r="G50" i="9"/>
  <c r="G49" i="9"/>
  <c r="G48" i="9"/>
  <c r="G46" i="9"/>
  <c r="G45" i="9"/>
  <c r="G44" i="9"/>
  <c r="G25" i="9"/>
  <c r="B23" i="9"/>
  <c r="G22" i="9"/>
  <c r="B19" i="9"/>
  <c r="B18" i="9"/>
  <c r="G12" i="9"/>
  <c r="N9" i="9"/>
  <c r="N8" i="9"/>
  <c r="N7" i="9"/>
  <c r="I310" i="3"/>
  <c r="H149" i="4"/>
  <c r="H225" i="4"/>
  <c r="G481" i="4"/>
  <c r="G460" i="4"/>
  <c r="H231" i="4"/>
  <c r="G231" i="4"/>
  <c r="L41" i="39" l="1"/>
  <c r="E41" i="37"/>
  <c r="E66" i="18"/>
  <c r="G66" i="18" s="1"/>
  <c r="B67" i="18" s="1"/>
  <c r="N10" i="9"/>
  <c r="G54" i="9"/>
  <c r="G37" i="9" s="1"/>
  <c r="H28" i="9"/>
  <c r="H29" i="9" s="1"/>
  <c r="H37" i="9" l="1"/>
  <c r="E67" i="18"/>
  <c r="F54" i="9"/>
  <c r="K23" i="8"/>
  <c r="L10" i="8"/>
  <c r="M10" i="8" s="1"/>
  <c r="L13" i="8"/>
  <c r="M13" i="8" s="1"/>
  <c r="L14" i="8"/>
  <c r="M14" i="8" s="1"/>
  <c r="L17" i="8"/>
  <c r="M17" i="8" s="1"/>
  <c r="L18" i="8"/>
  <c r="M18" i="8" s="1"/>
  <c r="M21" i="8"/>
  <c r="L6" i="8"/>
  <c r="J23" i="8"/>
  <c r="G23" i="8"/>
  <c r="M22" i="8"/>
  <c r="L20" i="8"/>
  <c r="M20" i="8" s="1"/>
  <c r="L19" i="8"/>
  <c r="M19" i="8" s="1"/>
  <c r="L16" i="8"/>
  <c r="M16" i="8" s="1"/>
  <c r="L15" i="8"/>
  <c r="M15" i="8" s="1"/>
  <c r="L12" i="8"/>
  <c r="M12" i="8" s="1"/>
  <c r="L11" i="8"/>
  <c r="M11" i="8" s="1"/>
  <c r="L8" i="8"/>
  <c r="M8" i="8" s="1"/>
  <c r="L7" i="8"/>
  <c r="M7" i="8" s="1"/>
  <c r="H7" i="8"/>
  <c r="H8" i="8" s="1"/>
  <c r="H9" i="8" s="1"/>
  <c r="H10" i="8" s="1"/>
  <c r="H11" i="8" s="1"/>
  <c r="H12" i="8" s="1"/>
  <c r="H13" i="8" s="1"/>
  <c r="H14" i="8" s="1"/>
  <c r="H15" i="8" s="1"/>
  <c r="H16" i="8" s="1"/>
  <c r="H17" i="8" s="1"/>
  <c r="H18" i="8" s="1"/>
  <c r="H19" i="8" s="1"/>
  <c r="H20" i="8" s="1"/>
  <c r="H21" i="8" s="1"/>
  <c r="E35" i="7"/>
  <c r="P31" i="7"/>
  <c r="N31" i="7"/>
  <c r="L31" i="7"/>
  <c r="I31" i="7"/>
  <c r="E31" i="7"/>
  <c r="P29" i="7"/>
  <c r="N29" i="7"/>
  <c r="L29" i="7"/>
  <c r="I29" i="7"/>
  <c r="E29" i="7"/>
  <c r="P27" i="7"/>
  <c r="G602" i="40" s="1"/>
  <c r="P25" i="7"/>
  <c r="G249" i="40" s="1"/>
  <c r="N21" i="7"/>
  <c r="L21" i="7"/>
  <c r="L23" i="7" s="1"/>
  <c r="I21" i="7"/>
  <c r="I23" i="7" s="1"/>
  <c r="F21" i="7"/>
  <c r="D21" i="7"/>
  <c r="E17" i="7"/>
  <c r="Z16" i="7"/>
  <c r="AA16" i="7" s="1"/>
  <c r="AC16" i="7" s="1"/>
  <c r="E16" i="7"/>
  <c r="Z15" i="7"/>
  <c r="AA15" i="7" s="1"/>
  <c r="AC15" i="7" s="1"/>
  <c r="E15" i="7"/>
  <c r="Z14" i="7"/>
  <c r="AA14" i="7" s="1"/>
  <c r="AC14" i="7" s="1"/>
  <c r="E14" i="7"/>
  <c r="Z13" i="7"/>
  <c r="AA13" i="7" s="1"/>
  <c r="AC13" i="7" s="1"/>
  <c r="E13" i="7"/>
  <c r="Z12" i="7"/>
  <c r="AA12" i="7" s="1"/>
  <c r="AC12" i="7" s="1"/>
  <c r="P12" i="7" s="1"/>
  <c r="E12" i="7"/>
  <c r="M11" i="7"/>
  <c r="M23" i="7" s="1"/>
  <c r="M33" i="7" s="1"/>
  <c r="K11" i="7"/>
  <c r="K23" i="7" s="1"/>
  <c r="J11" i="7"/>
  <c r="J23" i="7" s="1"/>
  <c r="J33" i="7" s="1"/>
  <c r="G11" i="7"/>
  <c r="G23" i="7" s="1"/>
  <c r="F11" i="7"/>
  <c r="D11" i="7"/>
  <c r="P10" i="7"/>
  <c r="N10" i="7"/>
  <c r="L10" i="7"/>
  <c r="I10" i="7"/>
  <c r="P9" i="7"/>
  <c r="P11" i="7" s="1"/>
  <c r="N9" i="7"/>
  <c r="L9" i="7"/>
  <c r="I9" i="7"/>
  <c r="E9" i="7"/>
  <c r="G588" i="4" l="1"/>
  <c r="D23" i="7"/>
  <c r="P16" i="7"/>
  <c r="O16" i="7" s="1"/>
  <c r="P15" i="7"/>
  <c r="O15" i="7" s="1"/>
  <c r="P14" i="7"/>
  <c r="O14" i="7" s="1"/>
  <c r="P13" i="7"/>
  <c r="O13" i="7" s="1"/>
  <c r="G67" i="18"/>
  <c r="B70" i="18" s="1"/>
  <c r="G238" i="4"/>
  <c r="Q11" i="7"/>
  <c r="O9" i="7"/>
  <c r="O29" i="7"/>
  <c r="L9" i="8"/>
  <c r="M9" i="8" s="1"/>
  <c r="M6" i="8"/>
  <c r="N11" i="7"/>
  <c r="N23" i="7" s="1"/>
  <c r="F23" i="7"/>
  <c r="F33" i="7" s="1"/>
  <c r="F39" i="7" s="1"/>
  <c r="AD14" i="7" l="1"/>
  <c r="AD16" i="7"/>
  <c r="P21" i="7"/>
  <c r="O12" i="7"/>
  <c r="AD13" i="7"/>
  <c r="AD15" i="7"/>
  <c r="AD12" i="7"/>
  <c r="D70" i="18"/>
  <c r="E70" i="18" s="1"/>
  <c r="L23" i="8"/>
  <c r="M23" i="8"/>
  <c r="M25" i="8" s="1"/>
  <c r="O11" i="7"/>
  <c r="P23" i="7" l="1"/>
  <c r="O21" i="7"/>
  <c r="O23" i="7" s="1"/>
  <c r="G70" i="18"/>
  <c r="B71" i="18" s="1"/>
  <c r="G70" i="5"/>
  <c r="G91" i="40" s="1"/>
  <c r="I115" i="40" s="1"/>
  <c r="F62" i="5"/>
  <c r="I62" i="5" s="1"/>
  <c r="G497" i="40" l="1"/>
  <c r="G601" i="40"/>
  <c r="G587" i="4"/>
  <c r="P33" i="7"/>
  <c r="G483" i="4"/>
  <c r="G237" i="4" s="1"/>
  <c r="G77" i="5"/>
  <c r="G86" i="4"/>
  <c r="B10" i="35" s="1"/>
  <c r="D71" i="18"/>
  <c r="E71" i="18" s="1"/>
  <c r="C70" i="5"/>
  <c r="J115" i="5"/>
  <c r="I115" i="5"/>
  <c r="H115" i="5"/>
  <c r="G115" i="5"/>
  <c r="F115" i="5"/>
  <c r="D115" i="5"/>
  <c r="C115" i="5"/>
  <c r="B115" i="5"/>
  <c r="K114" i="5"/>
  <c r="E114" i="5"/>
  <c r="K113" i="5"/>
  <c r="E113" i="5"/>
  <c r="K112" i="5"/>
  <c r="E112" i="5"/>
  <c r="K111" i="5"/>
  <c r="E111" i="5"/>
  <c r="K110" i="5"/>
  <c r="E110" i="5"/>
  <c r="E109" i="5"/>
  <c r="E108" i="5"/>
  <c r="E107" i="5"/>
  <c r="I99" i="5"/>
  <c r="H99" i="5"/>
  <c r="G99" i="5"/>
  <c r="F99" i="5"/>
  <c r="D98" i="5"/>
  <c r="B98" i="5"/>
  <c r="J98" i="5" s="1"/>
  <c r="D97" i="5"/>
  <c r="C97" i="5"/>
  <c r="C99" i="5" s="1"/>
  <c r="J7" i="5" s="1"/>
  <c r="B97" i="5"/>
  <c r="J97" i="5" s="1"/>
  <c r="H93" i="5"/>
  <c r="G93" i="5"/>
  <c r="I16" i="5" s="1"/>
  <c r="F93" i="5"/>
  <c r="I15" i="5" s="1"/>
  <c r="D93" i="5"/>
  <c r="I8" i="5" s="1"/>
  <c r="C93" i="5"/>
  <c r="I7" i="5" s="1"/>
  <c r="B93" i="5"/>
  <c r="I6" i="5" s="1"/>
  <c r="H92" i="5"/>
  <c r="G92" i="5"/>
  <c r="H16" i="5" s="1"/>
  <c r="F92" i="5"/>
  <c r="H15" i="5" s="1"/>
  <c r="D92" i="5"/>
  <c r="H8" i="5" s="1"/>
  <c r="C92" i="5"/>
  <c r="H7" i="5" s="1"/>
  <c r="B92" i="5"/>
  <c r="H6" i="5" s="1"/>
  <c r="H91" i="5"/>
  <c r="G91" i="5"/>
  <c r="G16" i="5" s="1"/>
  <c r="F91" i="5"/>
  <c r="G15" i="5" s="1"/>
  <c r="D91" i="5"/>
  <c r="G8" i="5" s="1"/>
  <c r="C91" i="5"/>
  <c r="G7" i="5" s="1"/>
  <c r="B91" i="5"/>
  <c r="G6" i="5" s="1"/>
  <c r="H90" i="5"/>
  <c r="G90" i="5"/>
  <c r="F16" i="5" s="1"/>
  <c r="F90" i="5"/>
  <c r="F15" i="5" s="1"/>
  <c r="D90" i="5"/>
  <c r="F8" i="5" s="1"/>
  <c r="C90" i="5"/>
  <c r="F7" i="5" s="1"/>
  <c r="B90" i="5"/>
  <c r="F6" i="5" s="1"/>
  <c r="H89" i="5"/>
  <c r="G89" i="5"/>
  <c r="E16" i="5" s="1"/>
  <c r="F89" i="5"/>
  <c r="E15" i="5" s="1"/>
  <c r="D89" i="5"/>
  <c r="E8" i="5" s="1"/>
  <c r="C89" i="5"/>
  <c r="E7" i="5" s="1"/>
  <c r="B89" i="5"/>
  <c r="E6" i="5" s="1"/>
  <c r="H88" i="5"/>
  <c r="G88" i="5"/>
  <c r="D16" i="5" s="1"/>
  <c r="F88" i="5"/>
  <c r="D15" i="5" s="1"/>
  <c r="D88" i="5"/>
  <c r="D8" i="5" s="1"/>
  <c r="C88" i="5"/>
  <c r="D7" i="5" s="1"/>
  <c r="B88" i="5"/>
  <c r="D6" i="5" s="1"/>
  <c r="H87" i="5"/>
  <c r="G87" i="5"/>
  <c r="C16" i="5" s="1"/>
  <c r="F87" i="5"/>
  <c r="C15" i="5" s="1"/>
  <c r="D87" i="5"/>
  <c r="C8" i="5" s="1"/>
  <c r="C87" i="5"/>
  <c r="C7" i="5" s="1"/>
  <c r="B87" i="5"/>
  <c r="C6" i="5" s="1"/>
  <c r="G86" i="5"/>
  <c r="F86" i="5"/>
  <c r="B15" i="5" s="1"/>
  <c r="D86" i="5"/>
  <c r="B8" i="5" s="1"/>
  <c r="C86" i="5"/>
  <c r="B7" i="5" s="1"/>
  <c r="B86" i="5"/>
  <c r="B6" i="5" s="1"/>
  <c r="B20" i="5"/>
  <c r="J16" i="5"/>
  <c r="J18" i="5" s="1"/>
  <c r="J21" i="5" s="1"/>
  <c r="K505" i="4"/>
  <c r="H456" i="4"/>
  <c r="H464" i="4"/>
  <c r="H143" i="4"/>
  <c r="H274" i="4"/>
  <c r="G412" i="4"/>
  <c r="H233" i="4"/>
  <c r="H412" i="4"/>
  <c r="G282" i="4"/>
  <c r="H377" i="4"/>
  <c r="G377" i="4"/>
  <c r="H288" i="4"/>
  <c r="G277" i="4"/>
  <c r="H378" i="4"/>
  <c r="H459" i="4"/>
  <c r="G459" i="4"/>
  <c r="H286" i="4"/>
  <c r="G287" i="4"/>
  <c r="G378" i="4"/>
  <c r="H156" i="4"/>
  <c r="H282" i="4"/>
  <c r="G274" i="4"/>
  <c r="G464" i="4"/>
  <c r="H460" i="4"/>
  <c r="G286" i="4"/>
  <c r="G289" i="4"/>
  <c r="H170" i="4"/>
  <c r="H386" i="4"/>
  <c r="H287" i="4"/>
  <c r="L497" i="4"/>
  <c r="H163" i="4"/>
  <c r="H289" i="4"/>
  <c r="G248" i="40" l="1"/>
  <c r="G498" i="40"/>
  <c r="G86" i="40" s="1"/>
  <c r="I86" i="40" s="1"/>
  <c r="O11" i="39"/>
  <c r="P11" i="39"/>
  <c r="L12" i="39"/>
  <c r="M12" i="39"/>
  <c r="M11" i="39"/>
  <c r="L11" i="39"/>
  <c r="E12" i="37"/>
  <c r="F12" i="37"/>
  <c r="H11" i="37"/>
  <c r="I11" i="37"/>
  <c r="E11" i="37"/>
  <c r="F11" i="37"/>
  <c r="B25" i="35"/>
  <c r="B23" i="35"/>
  <c r="B25" i="21"/>
  <c r="D23" i="31" s="1"/>
  <c r="B23" i="21"/>
  <c r="D21" i="31" s="1"/>
  <c r="H457" i="4"/>
  <c r="H415" i="4"/>
  <c r="G415" i="4"/>
  <c r="F18" i="29"/>
  <c r="C18" i="29" s="1"/>
  <c r="B9" i="5"/>
  <c r="E86" i="5"/>
  <c r="B62" i="5" s="1"/>
  <c r="C23" i="5"/>
  <c r="E87" i="5"/>
  <c r="B63" i="5" s="1"/>
  <c r="I110" i="4"/>
  <c r="J18" i="22"/>
  <c r="B10" i="21"/>
  <c r="D10" i="31" s="1"/>
  <c r="G284" i="4"/>
  <c r="C20" i="5"/>
  <c r="C17" i="5"/>
  <c r="C18" i="5" s="1"/>
  <c r="E20" i="5"/>
  <c r="E17" i="5"/>
  <c r="E18" i="5" s="1"/>
  <c r="G20" i="5"/>
  <c r="G17" i="5"/>
  <c r="G18" i="5" s="1"/>
  <c r="I20" i="5"/>
  <c r="I17" i="5"/>
  <c r="I18" i="5" s="1"/>
  <c r="B19" i="5"/>
  <c r="E17" i="13" s="1"/>
  <c r="B16" i="5"/>
  <c r="B18" i="5" s="1"/>
  <c r="D20" i="5"/>
  <c r="D17" i="5"/>
  <c r="D18" i="5" s="1"/>
  <c r="F20" i="5"/>
  <c r="F17" i="5"/>
  <c r="F18" i="5" s="1"/>
  <c r="H20" i="5"/>
  <c r="H17" i="5"/>
  <c r="H18" i="5" s="1"/>
  <c r="G71" i="18"/>
  <c r="B72" i="18" s="1"/>
  <c r="D72" i="18" s="1"/>
  <c r="G290" i="4"/>
  <c r="H461" i="4"/>
  <c r="B19" i="10"/>
  <c r="B21" i="10"/>
  <c r="E26" i="9"/>
  <c r="G26" i="9" s="1"/>
  <c r="K115" i="5"/>
  <c r="E88" i="5"/>
  <c r="B64" i="5" s="1"/>
  <c r="E90" i="5"/>
  <c r="B66" i="5" s="1"/>
  <c r="E92" i="5"/>
  <c r="B68" i="5" s="1"/>
  <c r="E93" i="5"/>
  <c r="B69" i="5" s="1"/>
  <c r="H94" i="5"/>
  <c r="H101" i="5" s="1"/>
  <c r="I87" i="5"/>
  <c r="F63" i="5" s="1"/>
  <c r="I89" i="5"/>
  <c r="J86" i="5"/>
  <c r="D23" i="5"/>
  <c r="H23" i="5"/>
  <c r="D94" i="5"/>
  <c r="G23" i="5"/>
  <c r="E115" i="5"/>
  <c r="E9" i="5"/>
  <c r="D9" i="5"/>
  <c r="D12" i="5" s="1"/>
  <c r="I9" i="5"/>
  <c r="H9" i="5"/>
  <c r="H12" i="5" s="1"/>
  <c r="J87" i="5"/>
  <c r="J89" i="5"/>
  <c r="J91" i="5"/>
  <c r="J93" i="5"/>
  <c r="D99" i="5"/>
  <c r="J8" i="5" s="1"/>
  <c r="F9" i="5"/>
  <c r="G9" i="5"/>
  <c r="G12" i="5" s="1"/>
  <c r="C94" i="5"/>
  <c r="C101" i="5" s="1"/>
  <c r="G94" i="5"/>
  <c r="G101" i="5" s="1"/>
  <c r="I88" i="5"/>
  <c r="F64" i="5" s="1"/>
  <c r="I90" i="5"/>
  <c r="F66" i="5" s="1"/>
  <c r="I92" i="5"/>
  <c r="F68" i="5" s="1"/>
  <c r="I93" i="5"/>
  <c r="J99" i="5"/>
  <c r="J88" i="5"/>
  <c r="J90" i="5"/>
  <c r="J92" i="5"/>
  <c r="F94" i="5"/>
  <c r="F101" i="5" s="1"/>
  <c r="E23" i="5"/>
  <c r="I23" i="5"/>
  <c r="E89" i="5"/>
  <c r="B65" i="5" s="1"/>
  <c r="E91" i="5"/>
  <c r="B67" i="5" s="1"/>
  <c r="I91" i="5"/>
  <c r="E97" i="5"/>
  <c r="B73" i="5" s="1"/>
  <c r="B99" i="5"/>
  <c r="B94" i="5"/>
  <c r="B23" i="5"/>
  <c r="F23" i="5"/>
  <c r="E98" i="5"/>
  <c r="N504" i="4"/>
  <c r="N506" i="4"/>
  <c r="G511" i="4" s="1"/>
  <c r="E14" i="9" s="1"/>
  <c r="G14" i="9" s="1"/>
  <c r="N505" i="4"/>
  <c r="G505" i="4" s="1"/>
  <c r="E11" i="9" s="1"/>
  <c r="G11" i="9" s="1"/>
  <c r="N497" i="4"/>
  <c r="H238" i="4"/>
  <c r="H483" i="4"/>
  <c r="J6" i="5" l="1"/>
  <c r="J23" i="5" s="1"/>
  <c r="L14" i="39"/>
  <c r="E14" i="37"/>
  <c r="F67" i="5"/>
  <c r="I67" i="5" s="1"/>
  <c r="F65" i="5"/>
  <c r="I65" i="5" s="1"/>
  <c r="F69" i="5"/>
  <c r="I69" i="5" s="1"/>
  <c r="C9" i="5"/>
  <c r="C12" i="5" s="1"/>
  <c r="C21" i="5"/>
  <c r="L18" i="22"/>
  <c r="M26" i="22" s="1"/>
  <c r="K26" i="22"/>
  <c r="D21" i="5"/>
  <c r="D25" i="5" s="1"/>
  <c r="G504" i="4"/>
  <c r="E15" i="9" s="1"/>
  <c r="G15" i="9" s="1"/>
  <c r="I21" i="5"/>
  <c r="J9" i="5"/>
  <c r="J24" i="5" s="1"/>
  <c r="F21" i="5"/>
  <c r="J73" i="5"/>
  <c r="E73" i="5"/>
  <c r="G21" i="5"/>
  <c r="G25" i="5" s="1"/>
  <c r="H21" i="5"/>
  <c r="H25" i="5" s="1"/>
  <c r="K98" i="5"/>
  <c r="B74" i="5"/>
  <c r="E21" i="5"/>
  <c r="D24" i="5"/>
  <c r="G24" i="5"/>
  <c r="E72" i="18"/>
  <c r="G72" i="18" s="1"/>
  <c r="B73" i="18" s="1"/>
  <c r="D73" i="18" s="1"/>
  <c r="E73" i="18" s="1"/>
  <c r="D101" i="5"/>
  <c r="F24" i="5"/>
  <c r="B17" i="10"/>
  <c r="B24" i="5"/>
  <c r="K86" i="5"/>
  <c r="E69" i="5"/>
  <c r="K89" i="5"/>
  <c r="K90" i="5"/>
  <c r="I66" i="5"/>
  <c r="E68" i="5"/>
  <c r="E67" i="5"/>
  <c r="K92" i="5"/>
  <c r="I68" i="5"/>
  <c r="K87" i="5"/>
  <c r="K88" i="5"/>
  <c r="I64" i="5"/>
  <c r="E62" i="5"/>
  <c r="J62" i="5"/>
  <c r="I63" i="5"/>
  <c r="E66" i="5"/>
  <c r="K93" i="5"/>
  <c r="E64" i="5"/>
  <c r="H24" i="5"/>
  <c r="I12" i="5"/>
  <c r="E24" i="5"/>
  <c r="B101" i="5"/>
  <c r="I94" i="5"/>
  <c r="I101" i="5" s="1"/>
  <c r="B12" i="5"/>
  <c r="I24" i="5"/>
  <c r="E12" i="5"/>
  <c r="J94" i="5"/>
  <c r="J101" i="5" s="1"/>
  <c r="F12" i="5"/>
  <c r="B21" i="5"/>
  <c r="K91" i="5"/>
  <c r="K97" i="5"/>
  <c r="E99" i="5"/>
  <c r="E94" i="5"/>
  <c r="J494" i="1"/>
  <c r="G494" i="1"/>
  <c r="J424" i="1"/>
  <c r="G424" i="1"/>
  <c r="J419" i="1"/>
  <c r="G419" i="1"/>
  <c r="J403" i="1"/>
  <c r="G403" i="1"/>
  <c r="J496" i="1"/>
  <c r="G496" i="1"/>
  <c r="E1000" i="4"/>
  <c r="E998" i="4"/>
  <c r="E994" i="4"/>
  <c r="E993" i="4"/>
  <c r="E989" i="4"/>
  <c r="E988" i="4"/>
  <c r="E984" i="4"/>
  <c r="E983" i="4"/>
  <c r="E979" i="4"/>
  <c r="E978" i="4"/>
  <c r="H814" i="4"/>
  <c r="H718" i="4"/>
  <c r="G718" i="4"/>
  <c r="H717" i="4"/>
  <c r="G717" i="4"/>
  <c r="H710" i="4"/>
  <c r="G710" i="4"/>
  <c r="H709" i="4"/>
  <c r="G709" i="4"/>
  <c r="H708" i="4"/>
  <c r="G708" i="4"/>
  <c r="H707" i="4"/>
  <c r="G707" i="4"/>
  <c r="H701" i="4"/>
  <c r="H691" i="4"/>
  <c r="H711" i="4" s="1"/>
  <c r="H555" i="4" s="1"/>
  <c r="H559" i="4" s="1"/>
  <c r="H564" i="4" s="1"/>
  <c r="H102" i="4" s="1"/>
  <c r="G711" i="4"/>
  <c r="G555" i="4" s="1"/>
  <c r="G559" i="4" s="1"/>
  <c r="G564" i="4" s="1"/>
  <c r="G102" i="4" s="1"/>
  <c r="H685" i="4"/>
  <c r="G685" i="4"/>
  <c r="G665" i="4"/>
  <c r="H664" i="4"/>
  <c r="G664" i="4"/>
  <c r="H663" i="4"/>
  <c r="H627" i="4"/>
  <c r="H629" i="4" s="1"/>
  <c r="H626" i="4"/>
  <c r="H633" i="4" s="1"/>
  <c r="H662" i="4" s="1"/>
  <c r="H677" i="4" s="1"/>
  <c r="G626" i="4"/>
  <c r="G633" i="4" s="1"/>
  <c r="G662" i="4" s="1"/>
  <c r="G677" i="4" s="1"/>
  <c r="H615" i="4"/>
  <c r="H601" i="4"/>
  <c r="G601" i="4"/>
  <c r="H568" i="4"/>
  <c r="G568" i="4"/>
  <c r="H550" i="4"/>
  <c r="H544" i="4"/>
  <c r="H576" i="4"/>
  <c r="H499" i="4" s="1"/>
  <c r="G576" i="4"/>
  <c r="G499" i="4" s="1"/>
  <c r="H513" i="4"/>
  <c r="H18" i="13" s="1"/>
  <c r="G615" i="4"/>
  <c r="H497" i="4"/>
  <c r="H493" i="4"/>
  <c r="H84" i="4" s="1"/>
  <c r="G486" i="4"/>
  <c r="G480" i="4"/>
  <c r="H482" i="4"/>
  <c r="H478" i="4"/>
  <c r="H519" i="4"/>
  <c r="G519" i="4"/>
  <c r="H466" i="4"/>
  <c r="H43" i="4" s="1"/>
  <c r="H42" i="4"/>
  <c r="H439" i="4"/>
  <c r="H420" i="4"/>
  <c r="H40" i="4" s="1"/>
  <c r="H39" i="4"/>
  <c r="H399" i="4"/>
  <c r="H393" i="4"/>
  <c r="H387" i="4"/>
  <c r="H34" i="4" s="1"/>
  <c r="H383" i="4"/>
  <c r="H450" i="4" s="1"/>
  <c r="G383" i="4"/>
  <c r="G450" i="4" s="1"/>
  <c r="H379" i="4"/>
  <c r="H361" i="4"/>
  <c r="G361" i="4"/>
  <c r="H293" i="4"/>
  <c r="H21" i="4" s="1"/>
  <c r="H290" i="4"/>
  <c r="H20" i="4" s="1"/>
  <c r="H284" i="4"/>
  <c r="H19" i="4" s="1"/>
  <c r="H278" i="4"/>
  <c r="H18" i="4" s="1"/>
  <c r="H247" i="4"/>
  <c r="H17" i="4" s="1"/>
  <c r="H227" i="4"/>
  <c r="H11" i="4" s="1"/>
  <c r="H220" i="4"/>
  <c r="H271" i="4" s="1"/>
  <c r="G220" i="4"/>
  <c r="G271" i="4" s="1"/>
  <c r="H181" i="4"/>
  <c r="H173" i="4"/>
  <c r="H175" i="4" s="1"/>
  <c r="G170" i="4" s="1"/>
  <c r="G173" i="4" s="1"/>
  <c r="G175" i="4" s="1"/>
  <c r="H165" i="4"/>
  <c r="H167" i="4" s="1"/>
  <c r="G163" i="4" s="1"/>
  <c r="G165" i="4" s="1"/>
  <c r="G167" i="4" s="1"/>
  <c r="H158" i="4"/>
  <c r="H160" i="4" s="1"/>
  <c r="G156" i="4" s="1"/>
  <c r="G158" i="4" s="1"/>
  <c r="G160" i="4" s="1"/>
  <c r="C6" i="25" s="1"/>
  <c r="H151" i="4"/>
  <c r="H153" i="4" s="1"/>
  <c r="G149" i="4" s="1"/>
  <c r="G151" i="4" s="1"/>
  <c r="G153" i="4" s="1"/>
  <c r="H145" i="4"/>
  <c r="G143" i="4" s="1"/>
  <c r="G145" i="4" s="1"/>
  <c r="G28" i="4" s="1"/>
  <c r="H141" i="4"/>
  <c r="G141" i="4"/>
  <c r="F137" i="4"/>
  <c r="F216" i="4" s="1"/>
  <c r="F136" i="4"/>
  <c r="F215" i="4" s="1"/>
  <c r="F134" i="4"/>
  <c r="F213" i="4" s="1"/>
  <c r="F131" i="4"/>
  <c r="F210" i="4" s="1"/>
  <c r="F130" i="4"/>
  <c r="F209" i="4" s="1"/>
  <c r="B207" i="4"/>
  <c r="B129" i="4"/>
  <c r="B206" i="4" s="1"/>
  <c r="B987" i="4" s="1"/>
  <c r="B128" i="4"/>
  <c r="B205" i="4" s="1"/>
  <c r="F127" i="4"/>
  <c r="F206" i="4" s="1"/>
  <c r="F126" i="4"/>
  <c r="F205" i="4" s="1"/>
  <c r="B126" i="4"/>
  <c r="B203" i="4" s="1"/>
  <c r="B125" i="4"/>
  <c r="B202" i="4" s="1"/>
  <c r="B124" i="4"/>
  <c r="B201" i="4" s="1"/>
  <c r="F123" i="4"/>
  <c r="F202" i="4" s="1"/>
  <c r="F122" i="4"/>
  <c r="F201" i="4" s="1"/>
  <c r="B120" i="4"/>
  <c r="B197" i="4" s="1"/>
  <c r="F119" i="4"/>
  <c r="F198" i="4" s="1"/>
  <c r="B119" i="4"/>
  <c r="B196" i="4" s="1"/>
  <c r="F118" i="4"/>
  <c r="F197" i="4" s="1"/>
  <c r="B118" i="4"/>
  <c r="B195" i="4" s="1"/>
  <c r="B116" i="4"/>
  <c r="B194" i="4" s="1"/>
  <c r="H98" i="4"/>
  <c r="H76" i="4"/>
  <c r="G76" i="4"/>
  <c r="H75" i="4"/>
  <c r="G75" i="4"/>
  <c r="H9" i="4"/>
  <c r="G232" i="4"/>
  <c r="H232" i="4"/>
  <c r="O41" i="39" l="1"/>
  <c r="D21" i="39" s="1"/>
  <c r="F21" i="39" s="1"/>
  <c r="P8" i="39"/>
  <c r="I14" i="37"/>
  <c r="P14" i="39"/>
  <c r="M9" i="39"/>
  <c r="F10" i="37"/>
  <c r="M10" i="39"/>
  <c r="M14" i="39"/>
  <c r="H41" i="37"/>
  <c r="J40" i="37" s="1"/>
  <c r="C936" i="40" s="1"/>
  <c r="E936" i="40" s="1"/>
  <c r="I8" i="37"/>
  <c r="F14" i="37"/>
  <c r="F9" i="37"/>
  <c r="J69" i="5"/>
  <c r="B27" i="35"/>
  <c r="B21" i="35"/>
  <c r="D21" i="30"/>
  <c r="D36" i="30"/>
  <c r="D44" i="30"/>
  <c r="D45" i="30"/>
  <c r="J67" i="5"/>
  <c r="K69" i="5"/>
  <c r="C24" i="5"/>
  <c r="K67" i="5"/>
  <c r="C25" i="5"/>
  <c r="B27" i="21"/>
  <c r="D25" i="31" s="1"/>
  <c r="D22" i="30"/>
  <c r="D42" i="30"/>
  <c r="B21" i="21"/>
  <c r="D19" i="31" s="1"/>
  <c r="D14" i="30"/>
  <c r="D23" i="30"/>
  <c r="D20" i="30"/>
  <c r="D24" i="30"/>
  <c r="D12" i="30"/>
  <c r="C5" i="25"/>
  <c r="C30" i="30"/>
  <c r="H16" i="13"/>
  <c r="G16" i="29"/>
  <c r="H106" i="4"/>
  <c r="G35" i="29"/>
  <c r="G37" i="29" s="1"/>
  <c r="H640" i="4"/>
  <c r="D41" i="30"/>
  <c r="G106" i="4"/>
  <c r="F35" i="29"/>
  <c r="H636" i="4"/>
  <c r="I18" i="4"/>
  <c r="H635" i="4"/>
  <c r="H637" i="4"/>
  <c r="H641" i="4"/>
  <c r="I25" i="5"/>
  <c r="F25" i="5"/>
  <c r="K99" i="5"/>
  <c r="K73" i="5"/>
  <c r="H85" i="4"/>
  <c r="C11" i="35" s="1"/>
  <c r="H21" i="13"/>
  <c r="E74" i="5"/>
  <c r="J74" i="5"/>
  <c r="J75" i="5" s="1"/>
  <c r="B75" i="5"/>
  <c r="H22" i="13"/>
  <c r="E25" i="5"/>
  <c r="H78" i="4"/>
  <c r="G11" i="29" s="1"/>
  <c r="H8" i="13"/>
  <c r="H9" i="13" s="1"/>
  <c r="G73" i="18"/>
  <c r="B74" i="18" s="1"/>
  <c r="D74" i="18" s="1"/>
  <c r="E74" i="18" s="1"/>
  <c r="H694" i="4"/>
  <c r="H704" i="4" s="1"/>
  <c r="G616" i="4"/>
  <c r="K66" i="5"/>
  <c r="J66" i="5"/>
  <c r="H33" i="4"/>
  <c r="K94" i="5"/>
  <c r="E24" i="9"/>
  <c r="G24" i="9" s="1"/>
  <c r="E18" i="9"/>
  <c r="G18" i="9" s="1"/>
  <c r="E20" i="9"/>
  <c r="G20" i="9" s="1"/>
  <c r="E17" i="9"/>
  <c r="G17" i="9" s="1"/>
  <c r="E19" i="9"/>
  <c r="G19" i="9" s="1"/>
  <c r="E13" i="9"/>
  <c r="G13" i="9" s="1"/>
  <c r="E10" i="9"/>
  <c r="G10" i="9" s="1"/>
  <c r="E21" i="9"/>
  <c r="G21" i="9" s="1"/>
  <c r="E23" i="9"/>
  <c r="G23" i="9" s="1"/>
  <c r="E16" i="9"/>
  <c r="G16" i="9" s="1"/>
  <c r="H598" i="4"/>
  <c r="J65" i="5"/>
  <c r="E65" i="5"/>
  <c r="K65" i="5" s="1"/>
  <c r="K64" i="5"/>
  <c r="K62" i="5"/>
  <c r="J68" i="5"/>
  <c r="J64" i="5"/>
  <c r="I70" i="5"/>
  <c r="I77" i="5" s="1"/>
  <c r="B70" i="5"/>
  <c r="J63" i="5"/>
  <c r="E63" i="5"/>
  <c r="K63" i="5" s="1"/>
  <c r="K68" i="5"/>
  <c r="F70" i="5"/>
  <c r="F77" i="5" s="1"/>
  <c r="B25" i="5"/>
  <c r="E101" i="5"/>
  <c r="H234" i="4"/>
  <c r="H12" i="4" s="1"/>
  <c r="H616" i="4"/>
  <c r="G482" i="4"/>
  <c r="G484" i="4" s="1"/>
  <c r="H551" i="4"/>
  <c r="H87" i="4" s="1"/>
  <c r="G19" i="29" s="1"/>
  <c r="H621" i="4"/>
  <c r="H77" i="4"/>
  <c r="H608" i="4"/>
  <c r="H237" i="4"/>
  <c r="H712" i="4"/>
  <c r="H488" i="4"/>
  <c r="H83" i="4" s="1"/>
  <c r="G712" i="4"/>
  <c r="H484" i="4"/>
  <c r="G598" i="4"/>
  <c r="H602" i="4"/>
  <c r="G227" i="4"/>
  <c r="G461" i="4"/>
  <c r="G42" i="4" s="1"/>
  <c r="G234" i="4"/>
  <c r="G12" i="4" s="1"/>
  <c r="G20" i="4"/>
  <c r="G293" i="4"/>
  <c r="G21" i="4" s="1"/>
  <c r="B31" i="35" s="1"/>
  <c r="G544" i="4"/>
  <c r="G39" i="4"/>
  <c r="B46" i="35" s="1"/>
  <c r="G478" i="4"/>
  <c r="G493" i="4"/>
  <c r="G84" i="4" s="1"/>
  <c r="G513" i="4"/>
  <c r="E18" i="13" s="1"/>
  <c r="G550" i="4"/>
  <c r="G278" i="4"/>
  <c r="G18" i="4" s="1"/>
  <c r="L10" i="39" s="1"/>
  <c r="G19" i="4"/>
  <c r="B18" i="35" s="1"/>
  <c r="G379" i="4"/>
  <c r="G663" i="4"/>
  <c r="G666" i="4" s="1"/>
  <c r="G41" i="4"/>
  <c r="G497" i="4"/>
  <c r="G627" i="4"/>
  <c r="G629" i="4" s="1"/>
  <c r="H665" i="4"/>
  <c r="H666" i="4" s="1"/>
  <c r="H41" i="4"/>
  <c r="P16" i="39" s="1"/>
  <c r="G602" i="4"/>
  <c r="G608" i="4"/>
  <c r="H680" i="4"/>
  <c r="G696" i="4"/>
  <c r="G701" i="4" s="1"/>
  <c r="H28" i="4"/>
  <c r="H400" i="4"/>
  <c r="H703" i="4"/>
  <c r="L40" i="37" l="1"/>
  <c r="C965" i="4"/>
  <c r="E965" i="4" s="1"/>
  <c r="O16" i="39"/>
  <c r="M37" i="39"/>
  <c r="E19" i="39" s="1"/>
  <c r="P49" i="39"/>
  <c r="M45" i="39"/>
  <c r="H33" i="37"/>
  <c r="O33" i="39"/>
  <c r="P17" i="39"/>
  <c r="I16" i="37"/>
  <c r="I17" i="37" s="1"/>
  <c r="H16" i="37"/>
  <c r="AW56" i="35"/>
  <c r="E10" i="37"/>
  <c r="G10" i="29"/>
  <c r="G12" i="29" s="1"/>
  <c r="I49" i="37"/>
  <c r="F45" i="37"/>
  <c r="F37" i="37"/>
  <c r="K36" i="37" s="1"/>
  <c r="G183" i="4"/>
  <c r="B9" i="35"/>
  <c r="C9" i="21"/>
  <c r="E9" i="31" s="1"/>
  <c r="C9" i="35"/>
  <c r="B19" i="35"/>
  <c r="B24" i="35"/>
  <c r="D30" i="30"/>
  <c r="B18" i="21"/>
  <c r="D17" i="31" s="1"/>
  <c r="B31" i="21"/>
  <c r="D28" i="31" s="1"/>
  <c r="H241" i="4"/>
  <c r="H15" i="4" s="1"/>
  <c r="M8" i="39" s="1"/>
  <c r="M17" i="39" s="1"/>
  <c r="C21" i="30"/>
  <c r="B46" i="21"/>
  <c r="D39" i="31" s="1"/>
  <c r="D35" i="30"/>
  <c r="G8" i="4"/>
  <c r="J57" i="36" s="1"/>
  <c r="C15" i="30"/>
  <c r="J12" i="4"/>
  <c r="B24" i="21"/>
  <c r="D22" i="31" s="1"/>
  <c r="J42" i="4"/>
  <c r="B19" i="21"/>
  <c r="D18" i="31" s="1"/>
  <c r="J20" i="4"/>
  <c r="B9" i="21"/>
  <c r="D9" i="31" s="1"/>
  <c r="H183" i="4"/>
  <c r="G77" i="4"/>
  <c r="C41" i="30"/>
  <c r="E16" i="13"/>
  <c r="F16" i="29"/>
  <c r="C16" i="29" s="1"/>
  <c r="C24" i="30"/>
  <c r="C44" i="30"/>
  <c r="C11" i="21"/>
  <c r="E11" i="31" s="1"/>
  <c r="G17" i="29"/>
  <c r="C35" i="29"/>
  <c r="C37" i="29" s="1"/>
  <c r="F37" i="29"/>
  <c r="H15" i="13"/>
  <c r="G15" i="29"/>
  <c r="H13" i="4"/>
  <c r="D15" i="30"/>
  <c r="D16" i="30" s="1"/>
  <c r="C22" i="30"/>
  <c r="H642" i="4"/>
  <c r="H643" i="4" s="1"/>
  <c r="D43" i="30"/>
  <c r="D46" i="30" s="1"/>
  <c r="G642" i="4"/>
  <c r="C43" i="30"/>
  <c r="C23" i="30"/>
  <c r="H638" i="4"/>
  <c r="H402" i="4"/>
  <c r="H35" i="4" s="1"/>
  <c r="G11" i="4"/>
  <c r="B26" i="35" s="1"/>
  <c r="G636" i="4"/>
  <c r="AW56" i="21"/>
  <c r="G33" i="4"/>
  <c r="C8" i="25"/>
  <c r="G687" i="4"/>
  <c r="G694" i="4" s="1"/>
  <c r="G704" i="4" s="1"/>
  <c r="K101" i="5"/>
  <c r="E22" i="13"/>
  <c r="B77" i="5"/>
  <c r="K74" i="5"/>
  <c r="E75" i="5"/>
  <c r="G85" i="4"/>
  <c r="E21" i="13"/>
  <c r="G78" i="4"/>
  <c r="F11" i="29" s="1"/>
  <c r="C11" i="29" s="1"/>
  <c r="E8" i="13"/>
  <c r="E9" i="13" s="1"/>
  <c r="H79" i="4"/>
  <c r="C75" i="5"/>
  <c r="J10" i="5" s="1"/>
  <c r="K75" i="5"/>
  <c r="G74" i="18"/>
  <c r="B75" i="18" s="1"/>
  <c r="D75" i="18" s="1"/>
  <c r="H705" i="4"/>
  <c r="H81" i="4"/>
  <c r="I9" i="9"/>
  <c r="I28" i="9" s="1"/>
  <c r="I29" i="9" s="1"/>
  <c r="I32" i="9" s="1"/>
  <c r="I35" i="9" s="1"/>
  <c r="G637" i="4"/>
  <c r="G641" i="4"/>
  <c r="G81" i="4"/>
  <c r="L33" i="39" s="1"/>
  <c r="E9" i="9"/>
  <c r="G9" i="9" s="1"/>
  <c r="G28" i="9" s="1"/>
  <c r="K70" i="5"/>
  <c r="I13" i="23" s="1"/>
  <c r="J70" i="5"/>
  <c r="J77" i="5" s="1"/>
  <c r="E70" i="5"/>
  <c r="G551" i="4"/>
  <c r="G87" i="4" s="1"/>
  <c r="F19" i="29" s="1"/>
  <c r="C19" i="29" s="1"/>
  <c r="G703" i="4"/>
  <c r="G680" i="4"/>
  <c r="G640" i="4"/>
  <c r="H44" i="4"/>
  <c r="D963" i="4" l="1"/>
  <c r="D934" i="40"/>
  <c r="D17" i="39"/>
  <c r="F33" i="37"/>
  <c r="K32" i="37" s="1"/>
  <c r="M33" i="39"/>
  <c r="E17" i="39" s="1"/>
  <c r="P45" i="39"/>
  <c r="E23" i="39" s="1"/>
  <c r="E7" i="39"/>
  <c r="L37" i="39"/>
  <c r="O49" i="39"/>
  <c r="L45" i="39"/>
  <c r="I81" i="4"/>
  <c r="E33" i="37"/>
  <c r="J32" i="37" s="1"/>
  <c r="C932" i="40" s="1"/>
  <c r="F10" i="29"/>
  <c r="C10" i="29" s="1"/>
  <c r="C12" i="29" s="1"/>
  <c r="H49" i="37"/>
  <c r="E45" i="37"/>
  <c r="E37" i="37"/>
  <c r="F8" i="37"/>
  <c r="F17" i="37" s="1"/>
  <c r="I85" i="4"/>
  <c r="B11" i="35"/>
  <c r="B48" i="35" s="1"/>
  <c r="B50" i="35" s="1"/>
  <c r="D18" i="30"/>
  <c r="D25" i="30" s="1"/>
  <c r="D26" i="30" s="1"/>
  <c r="C11" i="30"/>
  <c r="H22" i="4"/>
  <c r="B26" i="21"/>
  <c r="D24" i="31" s="1"/>
  <c r="C35" i="30"/>
  <c r="J33" i="4"/>
  <c r="H25" i="4"/>
  <c r="I25" i="4" s="1"/>
  <c r="I10" i="23"/>
  <c r="I32" i="23" s="1"/>
  <c r="D37" i="30"/>
  <c r="D38" i="30" s="1"/>
  <c r="E13" i="13"/>
  <c r="D13" i="13" s="1"/>
  <c r="F14" i="29"/>
  <c r="H13" i="13"/>
  <c r="H19" i="13" s="1"/>
  <c r="H20" i="13" s="1"/>
  <c r="G14" i="29"/>
  <c r="G20" i="29" s="1"/>
  <c r="B11" i="21"/>
  <c r="B48" i="21" s="1"/>
  <c r="F17" i="29"/>
  <c r="C17" i="29" s="1"/>
  <c r="C14" i="30"/>
  <c r="G705" i="4"/>
  <c r="H36" i="4"/>
  <c r="I15" i="23"/>
  <c r="J15" i="23" s="1"/>
  <c r="G406" i="40" s="1"/>
  <c r="G407" i="40" s="1"/>
  <c r="G79" i="4"/>
  <c r="B12" i="10"/>
  <c r="B18" i="10" s="1"/>
  <c r="H88" i="4"/>
  <c r="H89" i="4" s="1"/>
  <c r="M53" i="39" s="1"/>
  <c r="G29" i="9"/>
  <c r="E77" i="5"/>
  <c r="K77" i="5"/>
  <c r="J12" i="5"/>
  <c r="C77" i="5"/>
  <c r="D9" i="13"/>
  <c r="D10" i="13" s="1"/>
  <c r="E10" i="13" s="1"/>
  <c r="L9" i="13" s="1"/>
  <c r="J57" i="5"/>
  <c r="E75" i="18"/>
  <c r="G75" i="18" s="1"/>
  <c r="B76" i="18" s="1"/>
  <c r="D76" i="18" s="1"/>
  <c r="E76" i="18" s="1"/>
  <c r="G643" i="4"/>
  <c r="G247" i="4"/>
  <c r="D961" i="4" l="1"/>
  <c r="D932" i="40"/>
  <c r="E932" i="40" s="1"/>
  <c r="F17" i="39"/>
  <c r="L32" i="37"/>
  <c r="C961" i="4"/>
  <c r="E961" i="4" s="1"/>
  <c r="F12" i="29"/>
  <c r="H92" i="4"/>
  <c r="C7" i="35" s="1"/>
  <c r="C13" i="35" s="1"/>
  <c r="C30" i="35" s="1"/>
  <c r="C32" i="35" s="1"/>
  <c r="C52" i="35" s="1"/>
  <c r="C56" i="35" s="1"/>
  <c r="L57" i="35" s="1"/>
  <c r="F53" i="37"/>
  <c r="I45" i="37"/>
  <c r="K44" i="37" s="1"/>
  <c r="K7" i="37"/>
  <c r="J28" i="23"/>
  <c r="H23" i="13"/>
  <c r="H24" i="13" s="1"/>
  <c r="H27" i="13" s="1"/>
  <c r="H33" i="13" s="1"/>
  <c r="D11" i="31"/>
  <c r="G21" i="29"/>
  <c r="G23" i="29" s="1"/>
  <c r="G25" i="29"/>
  <c r="G32" i="29" s="1"/>
  <c r="C14" i="29"/>
  <c r="G392" i="4"/>
  <c r="G17" i="4"/>
  <c r="I252" i="4"/>
  <c r="J25" i="5"/>
  <c r="L12" i="5"/>
  <c r="E32" i="9"/>
  <c r="G35" i="9"/>
  <c r="G39" i="9" s="1"/>
  <c r="P35" i="7" s="1"/>
  <c r="G76" i="18"/>
  <c r="B77" i="18" s="1"/>
  <c r="D77" i="18" s="1"/>
  <c r="E77" i="18" s="1"/>
  <c r="G77" i="18" s="1"/>
  <c r="B78" i="18" s="1"/>
  <c r="D952" i="4" l="1"/>
  <c r="D923" i="40"/>
  <c r="D967" i="4"/>
  <c r="D938" i="40"/>
  <c r="G501" i="40"/>
  <c r="G605" i="40"/>
  <c r="G9" i="4"/>
  <c r="B35" i="35" s="1"/>
  <c r="B42" i="35" s="1"/>
  <c r="C7" i="21"/>
  <c r="C13" i="21" s="1"/>
  <c r="C30" i="21" s="1"/>
  <c r="C32" i="21" s="1"/>
  <c r="C52" i="21" s="1"/>
  <c r="C56" i="21" s="1"/>
  <c r="B54" i="21" s="1"/>
  <c r="D46" i="31" s="1"/>
  <c r="L9" i="39"/>
  <c r="O37" i="39"/>
  <c r="D19" i="39" s="1"/>
  <c r="F19" i="39" s="1"/>
  <c r="B54" i="35"/>
  <c r="H99" i="4"/>
  <c r="B17" i="35"/>
  <c r="E9" i="37"/>
  <c r="H37" i="37"/>
  <c r="J36" i="37" s="1"/>
  <c r="C934" i="40" s="1"/>
  <c r="E934" i="40" s="1"/>
  <c r="B17" i="21"/>
  <c r="D16" i="31" s="1"/>
  <c r="G591" i="4"/>
  <c r="C20" i="30"/>
  <c r="G38" i="29"/>
  <c r="G42" i="29"/>
  <c r="G43" i="29"/>
  <c r="B50" i="21"/>
  <c r="D41" i="31"/>
  <c r="D43" i="31" s="1"/>
  <c r="G635" i="4"/>
  <c r="G638" i="4" s="1"/>
  <c r="G487" i="4"/>
  <c r="O35" i="7"/>
  <c r="P39" i="7"/>
  <c r="P41" i="7" s="1"/>
  <c r="D78" i="18"/>
  <c r="E78" i="18" s="1"/>
  <c r="G250" i="40" l="1"/>
  <c r="G252" i="40" s="1"/>
  <c r="G16" i="40" s="1"/>
  <c r="G23" i="40" s="1"/>
  <c r="I45" i="40" s="1"/>
  <c r="G502" i="40"/>
  <c r="G88" i="40" s="1"/>
  <c r="G93" i="40" s="1"/>
  <c r="G94" i="40" s="1"/>
  <c r="G97" i="40" s="1"/>
  <c r="B35" i="21"/>
  <c r="J10" i="40"/>
  <c r="G14" i="40"/>
  <c r="K9" i="40"/>
  <c r="E7" i="31"/>
  <c r="E13" i="31" s="1"/>
  <c r="E27" i="31" s="1"/>
  <c r="E29" i="31" s="1"/>
  <c r="E45" i="31" s="1"/>
  <c r="E47" i="31" s="1"/>
  <c r="L36" i="37"/>
  <c r="C963" i="4"/>
  <c r="E963" i="4" s="1"/>
  <c r="H109" i="4"/>
  <c r="M28" i="39"/>
  <c r="E15" i="39" s="1"/>
  <c r="M24" i="39"/>
  <c r="E12" i="39" s="1"/>
  <c r="M49" i="39"/>
  <c r="H567" i="4"/>
  <c r="H569" i="4" s="1"/>
  <c r="H111" i="4" s="1"/>
  <c r="H182" i="4"/>
  <c r="H184" i="4" s="1"/>
  <c r="H190" i="4" s="1"/>
  <c r="G178" i="4" s="1"/>
  <c r="G181" i="4" s="1"/>
  <c r="F24" i="37"/>
  <c r="K23" i="37" s="1"/>
  <c r="F49" i="37"/>
  <c r="F56" i="37" s="1"/>
  <c r="F28" i="37"/>
  <c r="K27" i="37" s="1"/>
  <c r="L57" i="21"/>
  <c r="J9" i="4"/>
  <c r="C12" i="30"/>
  <c r="C16" i="30" s="1"/>
  <c r="B13" i="10"/>
  <c r="G13" i="4"/>
  <c r="K8" i="4"/>
  <c r="G239" i="4"/>
  <c r="G488" i="4"/>
  <c r="G83" i="4" s="1"/>
  <c r="F15" i="29" s="1"/>
  <c r="G78" i="18"/>
  <c r="B79" i="18" s="1"/>
  <c r="D79" i="18" s="1"/>
  <c r="E79" i="18" s="1"/>
  <c r="E401" i="2"/>
  <c r="G401" i="2" s="1"/>
  <c r="J63" i="1"/>
  <c r="J62" i="1"/>
  <c r="J61" i="1"/>
  <c r="G61" i="1"/>
  <c r="J60" i="1"/>
  <c r="J58" i="1"/>
  <c r="G57" i="1"/>
  <c r="J56" i="1"/>
  <c r="J54" i="1"/>
  <c r="G53" i="1"/>
  <c r="J52" i="1"/>
  <c r="J50" i="1"/>
  <c r="G49" i="1"/>
  <c r="J48" i="1"/>
  <c r="J46" i="1"/>
  <c r="G45" i="1"/>
  <c r="J44" i="1"/>
  <c r="J42" i="1"/>
  <c r="G41" i="1"/>
  <c r="J40" i="1"/>
  <c r="J38" i="1"/>
  <c r="G37" i="1"/>
  <c r="J36" i="1"/>
  <c r="J34" i="1"/>
  <c r="G33" i="1"/>
  <c r="J32" i="1"/>
  <c r="J30" i="1"/>
  <c r="G29" i="1"/>
  <c r="J28" i="1"/>
  <c r="J26" i="1"/>
  <c r="G25" i="1"/>
  <c r="J24" i="1"/>
  <c r="J22" i="1"/>
  <c r="G22" i="1"/>
  <c r="G21" i="1"/>
  <c r="J20" i="1"/>
  <c r="J18" i="1"/>
  <c r="G18" i="1"/>
  <c r="G17" i="1"/>
  <c r="J16" i="1"/>
  <c r="G16" i="1"/>
  <c r="J14" i="1"/>
  <c r="G14" i="1"/>
  <c r="G13" i="1"/>
  <c r="J12" i="1"/>
  <c r="G12" i="1"/>
  <c r="J10" i="1"/>
  <c r="G10" i="1"/>
  <c r="G9" i="1"/>
  <c r="J8" i="1"/>
  <c r="G8" i="1"/>
  <c r="J6" i="1"/>
  <c r="G6" i="1"/>
  <c r="F13" i="2"/>
  <c r="H13" i="2" s="1"/>
  <c r="F403" i="2"/>
  <c r="H403" i="2" s="1"/>
  <c r="F402" i="2"/>
  <c r="H402" i="2" s="1"/>
  <c r="J489" i="1"/>
  <c r="F390" i="2"/>
  <c r="H390" i="2" s="1"/>
  <c r="F388" i="2"/>
  <c r="H388" i="2" s="1"/>
  <c r="F382" i="2"/>
  <c r="H382" i="2" s="1"/>
  <c r="J478" i="1"/>
  <c r="J473" i="1"/>
  <c r="J472" i="1"/>
  <c r="F400" i="2"/>
  <c r="H400" i="2" s="1"/>
  <c r="J464" i="1"/>
  <c r="F383" i="2"/>
  <c r="H383" i="2" s="1"/>
  <c r="J462" i="1"/>
  <c r="J459" i="1"/>
  <c r="J458" i="1"/>
  <c r="J457" i="1"/>
  <c r="J455" i="1"/>
  <c r="J453" i="1"/>
  <c r="J452" i="1"/>
  <c r="J448" i="1"/>
  <c r="J444" i="1"/>
  <c r="J442" i="1"/>
  <c r="J437" i="1"/>
  <c r="J436" i="1"/>
  <c r="J435" i="1"/>
  <c r="J431" i="1"/>
  <c r="J430" i="1"/>
  <c r="J429" i="1"/>
  <c r="J427" i="1"/>
  <c r="J426" i="1"/>
  <c r="J423" i="1"/>
  <c r="J422" i="1"/>
  <c r="J421" i="1"/>
  <c r="J417" i="1"/>
  <c r="J415" i="1"/>
  <c r="J414" i="1"/>
  <c r="J413" i="1"/>
  <c r="J408" i="1"/>
  <c r="J407" i="1"/>
  <c r="J405" i="1"/>
  <c r="J402" i="1"/>
  <c r="J400" i="1"/>
  <c r="J399" i="1"/>
  <c r="J398" i="1"/>
  <c r="J396" i="1"/>
  <c r="F373" i="2"/>
  <c r="H373" i="2" s="1"/>
  <c r="F370" i="2"/>
  <c r="H370" i="2" s="1"/>
  <c r="J391" i="1"/>
  <c r="F360" i="2"/>
  <c r="H360" i="2" s="1"/>
  <c r="J382" i="1"/>
  <c r="F352" i="2"/>
  <c r="H352" i="2" s="1"/>
  <c r="J378" i="1"/>
  <c r="J376" i="1"/>
  <c r="J367" i="1"/>
  <c r="J366" i="1"/>
  <c r="J362" i="1"/>
  <c r="J361" i="1"/>
  <c r="J346" i="1"/>
  <c r="J326" i="1"/>
  <c r="J313" i="1"/>
  <c r="J310" i="1"/>
  <c r="J297" i="1"/>
  <c r="J291" i="1"/>
  <c r="J284" i="1"/>
  <c r="J275" i="1"/>
  <c r="F12" i="2"/>
  <c r="J265" i="1"/>
  <c r="J257" i="1"/>
  <c r="J256" i="1"/>
  <c r="J255" i="1"/>
  <c r="J235" i="1"/>
  <c r="J233" i="1"/>
  <c r="J230" i="1"/>
  <c r="J228" i="1"/>
  <c r="J218" i="1"/>
  <c r="J214" i="1"/>
  <c r="J213" i="1"/>
  <c r="J212" i="1"/>
  <c r="J211" i="1"/>
  <c r="J206" i="1"/>
  <c r="J195" i="1"/>
  <c r="J194" i="1"/>
  <c r="J191" i="1"/>
  <c r="F134" i="2"/>
  <c r="H134" i="2" s="1"/>
  <c r="J185" i="1"/>
  <c r="F125" i="2"/>
  <c r="H125" i="2" s="1"/>
  <c r="J174" i="1"/>
  <c r="J173" i="1"/>
  <c r="J172" i="1"/>
  <c r="J171" i="1"/>
  <c r="F111" i="2"/>
  <c r="H111" i="2" s="1"/>
  <c r="J163" i="1"/>
  <c r="J160" i="1"/>
  <c r="J150" i="1"/>
  <c r="F91" i="2"/>
  <c r="H91" i="2" s="1"/>
  <c r="J143" i="1"/>
  <c r="F82" i="2"/>
  <c r="H82" i="2" s="1"/>
  <c r="J136" i="1"/>
  <c r="J134" i="1"/>
  <c r="F74" i="2"/>
  <c r="H74" i="2" s="1"/>
  <c r="J130" i="1"/>
  <c r="F70" i="2"/>
  <c r="H70" i="2" s="1"/>
  <c r="J107" i="1"/>
  <c r="J106" i="1"/>
  <c r="J103" i="1"/>
  <c r="J100" i="1"/>
  <c r="F34" i="2"/>
  <c r="H34" i="2" s="1"/>
  <c r="J98" i="1"/>
  <c r="F31" i="2"/>
  <c r="H31" i="2" s="1"/>
  <c r="J95" i="1"/>
  <c r="J90" i="1"/>
  <c r="J88" i="1"/>
  <c r="J84" i="1"/>
  <c r="J80" i="1"/>
  <c r="J78" i="1"/>
  <c r="F15" i="2"/>
  <c r="H15" i="2" s="1"/>
  <c r="F14" i="2"/>
  <c r="H14" i="2" s="1"/>
  <c r="J69" i="1"/>
  <c r="J68" i="1"/>
  <c r="J65" i="1"/>
  <c r="J5" i="1"/>
  <c r="E403" i="2"/>
  <c r="G403" i="2" s="1"/>
  <c r="E402" i="2"/>
  <c r="G402" i="2" s="1"/>
  <c r="E399" i="2"/>
  <c r="G399" i="2" s="1"/>
  <c r="G489" i="1"/>
  <c r="E400" i="2"/>
  <c r="G400" i="2" s="1"/>
  <c r="G459" i="1"/>
  <c r="G455" i="1"/>
  <c r="G442" i="1"/>
  <c r="G431" i="1"/>
  <c r="G423" i="1"/>
  <c r="G414" i="1"/>
  <c r="G413" i="1"/>
  <c r="G391" i="1"/>
  <c r="G364" i="1"/>
  <c r="G353" i="1"/>
  <c r="G310" i="1"/>
  <c r="G284" i="1"/>
  <c r="G272" i="1"/>
  <c r="G257" i="1"/>
  <c r="G255" i="1"/>
  <c r="E178" i="2"/>
  <c r="G178" i="2" s="1"/>
  <c r="G218" i="1"/>
  <c r="G214" i="1"/>
  <c r="G213" i="1"/>
  <c r="E135" i="2"/>
  <c r="G135" i="2" s="1"/>
  <c r="E122" i="2"/>
  <c r="G122" i="2" s="1"/>
  <c r="G106" i="1"/>
  <c r="G102" i="1"/>
  <c r="G98" i="1"/>
  <c r="G95" i="1"/>
  <c r="G84" i="1"/>
  <c r="K498" i="1"/>
  <c r="L498" i="1"/>
  <c r="F498" i="1"/>
  <c r="I498" i="1"/>
  <c r="I1" i="1"/>
  <c r="F1" i="1"/>
  <c r="D959" i="4" l="1"/>
  <c r="D930" i="40"/>
  <c r="G26" i="40"/>
  <c r="D957" i="4"/>
  <c r="D928" i="40"/>
  <c r="I97" i="40"/>
  <c r="H570" i="4"/>
  <c r="H112" i="4" s="1"/>
  <c r="H191" i="4"/>
  <c r="H29" i="4" s="1"/>
  <c r="M56" i="39"/>
  <c r="E25" i="39"/>
  <c r="K48" i="37"/>
  <c r="G241" i="4"/>
  <c r="G15" i="4" s="1"/>
  <c r="G22" i="4" s="1"/>
  <c r="B42" i="21"/>
  <c r="D31" i="31"/>
  <c r="D37" i="31" s="1"/>
  <c r="C15" i="29"/>
  <c r="C20" i="29" s="1"/>
  <c r="F20" i="29"/>
  <c r="B14" i="10"/>
  <c r="B22" i="10" s="1"/>
  <c r="I403" i="2"/>
  <c r="I400" i="2"/>
  <c r="F80" i="2"/>
  <c r="H80" i="2" s="1"/>
  <c r="F103" i="2"/>
  <c r="H103" i="2" s="1"/>
  <c r="F140" i="2"/>
  <c r="H140" i="2" s="1"/>
  <c r="F203" i="2"/>
  <c r="H203" i="2" s="1"/>
  <c r="J64" i="1"/>
  <c r="F401" i="2"/>
  <c r="H401" i="2" s="1"/>
  <c r="I401" i="2" s="1"/>
  <c r="F394" i="2"/>
  <c r="H394" i="2" s="1"/>
  <c r="F399" i="2"/>
  <c r="H399" i="2" s="1"/>
  <c r="I399" i="2" s="1"/>
  <c r="I402" i="2"/>
  <c r="F389" i="2"/>
  <c r="H389" i="2" s="1"/>
  <c r="E69" i="2"/>
  <c r="G69" i="2" s="1"/>
  <c r="F71" i="2"/>
  <c r="H71" i="2" s="1"/>
  <c r="F75" i="2"/>
  <c r="H75" i="2" s="1"/>
  <c r="F365" i="2"/>
  <c r="H365" i="2" s="1"/>
  <c r="F368" i="2"/>
  <c r="H368" i="2" s="1"/>
  <c r="F375" i="2"/>
  <c r="H375" i="2" s="1"/>
  <c r="F379" i="2"/>
  <c r="H379" i="2" s="1"/>
  <c r="F385" i="2"/>
  <c r="H385" i="2" s="1"/>
  <c r="F126" i="2"/>
  <c r="H126" i="2" s="1"/>
  <c r="F221" i="2"/>
  <c r="H221" i="2" s="1"/>
  <c r="F380" i="2"/>
  <c r="H380" i="2" s="1"/>
  <c r="E112" i="2"/>
  <c r="G112" i="2" s="1"/>
  <c r="F81" i="2"/>
  <c r="H81" i="2" s="1"/>
  <c r="F124" i="2"/>
  <c r="H124" i="2" s="1"/>
  <c r="F392" i="2"/>
  <c r="H392" i="2" s="1"/>
  <c r="F110" i="2"/>
  <c r="H110" i="2" s="1"/>
  <c r="E93" i="2"/>
  <c r="G93" i="2" s="1"/>
  <c r="F21" i="2"/>
  <c r="H21" i="2" s="1"/>
  <c r="F29" i="2"/>
  <c r="H29" i="2" s="1"/>
  <c r="F94" i="2"/>
  <c r="H94" i="2" s="1"/>
  <c r="F24" i="2"/>
  <c r="H24" i="2" s="1"/>
  <c r="F222" i="2"/>
  <c r="H222" i="2" s="1"/>
  <c r="F281" i="2"/>
  <c r="H281" i="2" s="1"/>
  <c r="F289" i="2"/>
  <c r="H289" i="2" s="1"/>
  <c r="E21" i="2"/>
  <c r="G21" i="2" s="1"/>
  <c r="E159" i="2"/>
  <c r="G159" i="2" s="1"/>
  <c r="F20" i="2"/>
  <c r="H20" i="2" s="1"/>
  <c r="F179" i="2"/>
  <c r="H179" i="2" s="1"/>
  <c r="F230" i="2"/>
  <c r="H230" i="2" s="1"/>
  <c r="F16" i="2"/>
  <c r="H16" i="2" s="1"/>
  <c r="F25" i="2"/>
  <c r="H25" i="2" s="1"/>
  <c r="E39" i="2"/>
  <c r="G39" i="2" s="1"/>
  <c r="F212" i="2"/>
  <c r="H212" i="2" s="1"/>
  <c r="F312" i="2"/>
  <c r="H312" i="2" s="1"/>
  <c r="F148" i="2"/>
  <c r="H148" i="2" s="1"/>
  <c r="F234" i="2"/>
  <c r="H234" i="2" s="1"/>
  <c r="F328" i="2"/>
  <c r="H328" i="2" s="1"/>
  <c r="F318" i="2"/>
  <c r="H318" i="2" s="1"/>
  <c r="F19" i="2"/>
  <c r="H19" i="2" s="1"/>
  <c r="F321" i="2"/>
  <c r="H321" i="2" s="1"/>
  <c r="F316" i="2"/>
  <c r="H316" i="2" s="1"/>
  <c r="E193" i="2"/>
  <c r="G193" i="2" s="1"/>
  <c r="F23" i="2"/>
  <c r="H23" i="2" s="1"/>
  <c r="F18" i="2"/>
  <c r="H18" i="2" s="1"/>
  <c r="F178" i="2"/>
  <c r="H178" i="2" s="1"/>
  <c r="I178" i="2" s="1"/>
  <c r="F223" i="2"/>
  <c r="H223" i="2" s="1"/>
  <c r="F227" i="2"/>
  <c r="H227" i="2" s="1"/>
  <c r="F240" i="2"/>
  <c r="H240" i="2" s="1"/>
  <c r="F298" i="2"/>
  <c r="H298" i="2" s="1"/>
  <c r="F38" i="2"/>
  <c r="H38" i="2" s="1"/>
  <c r="F170" i="2"/>
  <c r="H170" i="2" s="1"/>
  <c r="E55" i="2"/>
  <c r="G55" i="2" s="1"/>
  <c r="E149" i="2"/>
  <c r="G149" i="2" s="1"/>
  <c r="E316" i="2"/>
  <c r="G316" i="2" s="1"/>
  <c r="E44" i="2"/>
  <c r="G44" i="2" s="1"/>
  <c r="E143" i="2"/>
  <c r="G143" i="2" s="1"/>
  <c r="E15" i="13"/>
  <c r="E19" i="13" s="1"/>
  <c r="G88" i="4"/>
  <c r="G89" i="4" s="1"/>
  <c r="L53" i="39" s="1"/>
  <c r="E98" i="2"/>
  <c r="G98" i="2" s="1"/>
  <c r="F283" i="2"/>
  <c r="H283" i="2" s="1"/>
  <c r="F291" i="2"/>
  <c r="H291" i="2" s="1"/>
  <c r="E151" i="2"/>
  <c r="G151" i="2" s="1"/>
  <c r="F73" i="2"/>
  <c r="H73" i="2" s="1"/>
  <c r="F366" i="2"/>
  <c r="H366" i="2" s="1"/>
  <c r="E103" i="2"/>
  <c r="G103" i="2" s="1"/>
  <c r="F187" i="2"/>
  <c r="H187" i="2" s="1"/>
  <c r="E190" i="2"/>
  <c r="G190" i="2" s="1"/>
  <c r="E73" i="2"/>
  <c r="G73" i="2" s="1"/>
  <c r="E162" i="2"/>
  <c r="G162" i="2" s="1"/>
  <c r="E321" i="2"/>
  <c r="G321" i="2" s="1"/>
  <c r="F210" i="2"/>
  <c r="H210" i="2" s="1"/>
  <c r="F116" i="2"/>
  <c r="H116" i="2" s="1"/>
  <c r="F121" i="2"/>
  <c r="H121" i="2" s="1"/>
  <c r="F132" i="2"/>
  <c r="H132" i="2" s="1"/>
  <c r="F302" i="2"/>
  <c r="H302" i="2" s="1"/>
  <c r="F325" i="2"/>
  <c r="H325" i="2" s="1"/>
  <c r="F26" i="2"/>
  <c r="H26" i="2" s="1"/>
  <c r="F46" i="2"/>
  <c r="H46" i="2" s="1"/>
  <c r="F43" i="2"/>
  <c r="H43" i="2" s="1"/>
  <c r="F48" i="2"/>
  <c r="H48" i="2" s="1"/>
  <c r="F67" i="2"/>
  <c r="H67" i="2" s="1"/>
  <c r="F87" i="2"/>
  <c r="H87" i="2" s="1"/>
  <c r="F107" i="2"/>
  <c r="H107" i="2" s="1"/>
  <c r="F164" i="2"/>
  <c r="H164" i="2" s="1"/>
  <c r="F171" i="2"/>
  <c r="H171" i="2" s="1"/>
  <c r="F184" i="2"/>
  <c r="H184" i="2" s="1"/>
  <c r="F197" i="2"/>
  <c r="H197" i="2" s="1"/>
  <c r="F207" i="2"/>
  <c r="H207" i="2" s="1"/>
  <c r="F231" i="2"/>
  <c r="H231" i="2" s="1"/>
  <c r="E105" i="2"/>
  <c r="G105" i="2" s="1"/>
  <c r="F64" i="2"/>
  <c r="H64" i="2" s="1"/>
  <c r="F98" i="2"/>
  <c r="H98" i="2" s="1"/>
  <c r="E177" i="2"/>
  <c r="G177" i="2" s="1"/>
  <c r="E198" i="2"/>
  <c r="G198" i="2" s="1"/>
  <c r="F50" i="2"/>
  <c r="H50" i="2" s="1"/>
  <c r="F65" i="2"/>
  <c r="H65" i="2" s="1"/>
  <c r="F105" i="2"/>
  <c r="H105" i="2" s="1"/>
  <c r="F120" i="2"/>
  <c r="H120" i="2" s="1"/>
  <c r="F144" i="2"/>
  <c r="H144" i="2" s="1"/>
  <c r="F331" i="2"/>
  <c r="H331" i="2" s="1"/>
  <c r="F257" i="2"/>
  <c r="H257" i="2" s="1"/>
  <c r="F270" i="2"/>
  <c r="H270" i="2" s="1"/>
  <c r="F342" i="2"/>
  <c r="H342" i="2" s="1"/>
  <c r="F346" i="2"/>
  <c r="H346" i="2" s="1"/>
  <c r="F349" i="2"/>
  <c r="H349" i="2" s="1"/>
  <c r="F299" i="2"/>
  <c r="H299" i="2" s="1"/>
  <c r="F322" i="2"/>
  <c r="H322" i="2" s="1"/>
  <c r="F372" i="2"/>
  <c r="H372" i="2" s="1"/>
  <c r="E396" i="2"/>
  <c r="G396" i="2" s="1"/>
  <c r="E126" i="2"/>
  <c r="G126" i="2" s="1"/>
  <c r="E142" i="2"/>
  <c r="G142" i="2" s="1"/>
  <c r="F119" i="2"/>
  <c r="H119" i="2" s="1"/>
  <c r="F52" i="2"/>
  <c r="H52" i="2" s="1"/>
  <c r="F61" i="2"/>
  <c r="H61" i="2" s="1"/>
  <c r="F90" i="2"/>
  <c r="H90" i="2" s="1"/>
  <c r="F106" i="2"/>
  <c r="H106" i="2" s="1"/>
  <c r="F155" i="2"/>
  <c r="H155" i="2" s="1"/>
  <c r="F160" i="2"/>
  <c r="H160" i="2" s="1"/>
  <c r="F163" i="2"/>
  <c r="H163" i="2" s="1"/>
  <c r="F213" i="2"/>
  <c r="H213" i="2" s="1"/>
  <c r="F217" i="2"/>
  <c r="H217" i="2" s="1"/>
  <c r="F242" i="2"/>
  <c r="H242" i="2" s="1"/>
  <c r="F250" i="2"/>
  <c r="H250" i="2" s="1"/>
  <c r="F254" i="2"/>
  <c r="H254" i="2" s="1"/>
  <c r="F265" i="2"/>
  <c r="H265" i="2" s="1"/>
  <c r="F272" i="2"/>
  <c r="H272" i="2" s="1"/>
  <c r="F286" i="2"/>
  <c r="H286" i="2" s="1"/>
  <c r="F301" i="2"/>
  <c r="H301" i="2" s="1"/>
  <c r="F309" i="2"/>
  <c r="H309" i="2" s="1"/>
  <c r="F326" i="2"/>
  <c r="H326" i="2" s="1"/>
  <c r="F246" i="2"/>
  <c r="H246" i="2" s="1"/>
  <c r="F398" i="2"/>
  <c r="H398" i="2" s="1"/>
  <c r="F17" i="2"/>
  <c r="H17" i="2" s="1"/>
  <c r="F387" i="2"/>
  <c r="H387" i="2" s="1"/>
  <c r="F214" i="2"/>
  <c r="H214" i="2" s="1"/>
  <c r="F255" i="2"/>
  <c r="H255" i="2" s="1"/>
  <c r="F259" i="2"/>
  <c r="H259" i="2" s="1"/>
  <c r="F263" i="2"/>
  <c r="H263" i="2" s="1"/>
  <c r="F264" i="2"/>
  <c r="H264" i="2" s="1"/>
  <c r="F268" i="2"/>
  <c r="H268" i="2" s="1"/>
  <c r="F290" i="2"/>
  <c r="H290" i="2" s="1"/>
  <c r="F306" i="2"/>
  <c r="H306" i="2" s="1"/>
  <c r="F344" i="2"/>
  <c r="H344" i="2" s="1"/>
  <c r="F51" i="2"/>
  <c r="H51" i="2" s="1"/>
  <c r="F102" i="2"/>
  <c r="H102" i="2" s="1"/>
  <c r="F243" i="2"/>
  <c r="H243" i="2" s="1"/>
  <c r="F340" i="2"/>
  <c r="H340" i="2" s="1"/>
  <c r="F354" i="2"/>
  <c r="H354" i="2" s="1"/>
  <c r="F304" i="2"/>
  <c r="H304" i="2" s="1"/>
  <c r="E115" i="2"/>
  <c r="G115" i="2" s="1"/>
  <c r="E181" i="2"/>
  <c r="G181" i="2" s="1"/>
  <c r="E200" i="2"/>
  <c r="G200" i="2" s="1"/>
  <c r="E314" i="2"/>
  <c r="G314" i="2" s="1"/>
  <c r="F118" i="2"/>
  <c r="H118" i="2" s="1"/>
  <c r="F167" i="2"/>
  <c r="H167" i="2" s="1"/>
  <c r="F190" i="2"/>
  <c r="H190" i="2" s="1"/>
  <c r="F195" i="2"/>
  <c r="H195" i="2" s="1"/>
  <c r="F199" i="2"/>
  <c r="H199" i="2" s="1"/>
  <c r="F204" i="2"/>
  <c r="H204" i="2" s="1"/>
  <c r="F168" i="2"/>
  <c r="H168" i="2" s="1"/>
  <c r="F260" i="2"/>
  <c r="H260" i="2" s="1"/>
  <c r="F267" i="2"/>
  <c r="H267" i="2" s="1"/>
  <c r="F274" i="2"/>
  <c r="H274" i="2" s="1"/>
  <c r="F314" i="2"/>
  <c r="H314" i="2" s="1"/>
  <c r="F173" i="2"/>
  <c r="H173" i="2" s="1"/>
  <c r="F182" i="2"/>
  <c r="H182" i="2" s="1"/>
  <c r="F89" i="2"/>
  <c r="H89" i="2" s="1"/>
  <c r="E202" i="2"/>
  <c r="G202" i="2" s="1"/>
  <c r="F47" i="2"/>
  <c r="H47" i="2" s="1"/>
  <c r="F95" i="2"/>
  <c r="H95" i="2" s="1"/>
  <c r="F62" i="2"/>
  <c r="H62" i="2" s="1"/>
  <c r="F115" i="2"/>
  <c r="H115" i="2" s="1"/>
  <c r="F158" i="2"/>
  <c r="H158" i="2" s="1"/>
  <c r="F191" i="2"/>
  <c r="H191" i="2" s="1"/>
  <c r="F211" i="2"/>
  <c r="H211" i="2" s="1"/>
  <c r="F59" i="2"/>
  <c r="H59" i="2" s="1"/>
  <c r="F131" i="2"/>
  <c r="H131" i="2" s="1"/>
  <c r="F154" i="2"/>
  <c r="H154" i="2" s="1"/>
  <c r="F245" i="2"/>
  <c r="H245" i="2" s="1"/>
  <c r="F334" i="2"/>
  <c r="H334" i="2" s="1"/>
  <c r="F176" i="2"/>
  <c r="H176" i="2" s="1"/>
  <c r="F130" i="2"/>
  <c r="H130" i="2" s="1"/>
  <c r="F347" i="2"/>
  <c r="H347" i="2" s="1"/>
  <c r="E282" i="2"/>
  <c r="G282" i="2" s="1"/>
  <c r="E97" i="2"/>
  <c r="G97" i="2" s="1"/>
  <c r="F42" i="2"/>
  <c r="H42" i="2" s="1"/>
  <c r="F83" i="2"/>
  <c r="H83" i="2" s="1"/>
  <c r="F192" i="2"/>
  <c r="H192" i="2" s="1"/>
  <c r="F315" i="2"/>
  <c r="H315" i="2" s="1"/>
  <c r="F337" i="2"/>
  <c r="H337" i="2" s="1"/>
  <c r="F189" i="2"/>
  <c r="H189" i="2" s="1"/>
  <c r="F397" i="2"/>
  <c r="H397" i="2" s="1"/>
  <c r="G79" i="18"/>
  <c r="B80" i="18" s="1"/>
  <c r="D80" i="18" s="1"/>
  <c r="E80" i="18" s="1"/>
  <c r="J418" i="1"/>
  <c r="J480" i="1"/>
  <c r="J388" i="1"/>
  <c r="J492" i="1"/>
  <c r="F41" i="2"/>
  <c r="H41" i="2" s="1"/>
  <c r="J451" i="1"/>
  <c r="J463" i="1"/>
  <c r="J299" i="1"/>
  <c r="J336" i="1"/>
  <c r="J360" i="1"/>
  <c r="J373" i="1"/>
  <c r="F296" i="2"/>
  <c r="H296" i="2" s="1"/>
  <c r="F330" i="2"/>
  <c r="H330" i="2" s="1"/>
  <c r="J331" i="1"/>
  <c r="F146" i="2"/>
  <c r="H146" i="2" s="1"/>
  <c r="F355" i="2"/>
  <c r="H355" i="2" s="1"/>
  <c r="F208" i="2"/>
  <c r="H208" i="2" s="1"/>
  <c r="F271" i="2"/>
  <c r="H271" i="2" s="1"/>
  <c r="F384" i="2"/>
  <c r="H384" i="2" s="1"/>
  <c r="F57" i="2"/>
  <c r="H57" i="2" s="1"/>
  <c r="J484" i="1"/>
  <c r="J392" i="1"/>
  <c r="J446" i="1"/>
  <c r="J438" i="1"/>
  <c r="J460" i="1"/>
  <c r="J345" i="1"/>
  <c r="J401" i="1"/>
  <c r="J357" i="1"/>
  <c r="J412" i="1"/>
  <c r="J456" i="1"/>
  <c r="J268" i="1"/>
  <c r="J337" i="1"/>
  <c r="J434" i="1"/>
  <c r="J131" i="1"/>
  <c r="J490" i="1"/>
  <c r="J183" i="1"/>
  <c r="J354" i="1"/>
  <c r="J394" i="1"/>
  <c r="J474" i="1"/>
  <c r="J486" i="1"/>
  <c r="J67" i="1"/>
  <c r="J225" i="1"/>
  <c r="J75" i="1"/>
  <c r="J152" i="1"/>
  <c r="J241" i="1"/>
  <c r="J302" i="1"/>
  <c r="J329" i="1"/>
  <c r="J338" i="1"/>
  <c r="F32" i="2"/>
  <c r="H32" i="2" s="1"/>
  <c r="F109" i="2"/>
  <c r="H109" i="2" s="1"/>
  <c r="F165" i="2"/>
  <c r="H165" i="2" s="1"/>
  <c r="F239" i="2"/>
  <c r="H239" i="2" s="1"/>
  <c r="J273" i="1"/>
  <c r="J79" i="1"/>
  <c r="J164" i="1"/>
  <c r="J179" i="1"/>
  <c r="J293" i="1"/>
  <c r="J342" i="1"/>
  <c r="E41" i="2"/>
  <c r="G41" i="2" s="1"/>
  <c r="J104" i="1"/>
  <c r="J248" i="1"/>
  <c r="J161" i="1"/>
  <c r="J162" i="1"/>
  <c r="J186" i="1"/>
  <c r="J295" i="1"/>
  <c r="J132" i="1"/>
  <c r="J375" i="1"/>
  <c r="J450" i="1"/>
  <c r="J108" i="1"/>
  <c r="J115" i="1"/>
  <c r="J123" i="1"/>
  <c r="J140" i="1"/>
  <c r="J177" i="1"/>
  <c r="J253" i="1"/>
  <c r="J277" i="1"/>
  <c r="J356" i="1"/>
  <c r="J428" i="1"/>
  <c r="J475" i="1"/>
  <c r="J497" i="1"/>
  <c r="J156" i="1"/>
  <c r="J72" i="1"/>
  <c r="J144" i="1"/>
  <c r="J180" i="1"/>
  <c r="J202" i="1"/>
  <c r="J371" i="1"/>
  <c r="J404" i="1"/>
  <c r="J432" i="1"/>
  <c r="G5" i="1"/>
  <c r="G65" i="1"/>
  <c r="E36" i="2"/>
  <c r="G36" i="2" s="1"/>
  <c r="E80" i="2"/>
  <c r="G80" i="2" s="1"/>
  <c r="G78" i="1"/>
  <c r="E327" i="2"/>
  <c r="G327" i="2" s="1"/>
  <c r="E76" i="2"/>
  <c r="G76" i="2" s="1"/>
  <c r="E79" i="2"/>
  <c r="G79" i="2" s="1"/>
  <c r="E85" i="2"/>
  <c r="G85" i="2" s="1"/>
  <c r="G171" i="1"/>
  <c r="E124" i="2"/>
  <c r="G124" i="2" s="1"/>
  <c r="G194" i="1"/>
  <c r="E166" i="2"/>
  <c r="G166" i="2" s="1"/>
  <c r="E50" i="2"/>
  <c r="G50" i="2" s="1"/>
  <c r="G136" i="1"/>
  <c r="E100" i="2"/>
  <c r="G100" i="2" s="1"/>
  <c r="E132" i="2"/>
  <c r="G132" i="2" s="1"/>
  <c r="J102" i="1"/>
  <c r="F228" i="2"/>
  <c r="H228" i="2" s="1"/>
  <c r="J274" i="1"/>
  <c r="F279" i="2"/>
  <c r="H279" i="2" s="1"/>
  <c r="J328" i="1"/>
  <c r="F343" i="2"/>
  <c r="H343" i="2" s="1"/>
  <c r="J372" i="1"/>
  <c r="G69" i="1"/>
  <c r="G103" i="1"/>
  <c r="E91" i="2"/>
  <c r="G91" i="2" s="1"/>
  <c r="I91" i="2" s="1"/>
  <c r="E92" i="2"/>
  <c r="G92" i="2" s="1"/>
  <c r="G80" i="1"/>
  <c r="E63" i="2"/>
  <c r="G63" i="2" s="1"/>
  <c r="G174" i="1"/>
  <c r="E120" i="2"/>
  <c r="G120" i="2" s="1"/>
  <c r="E136" i="2"/>
  <c r="G136" i="2" s="1"/>
  <c r="G275" i="1"/>
  <c r="E64" i="2"/>
  <c r="G64" i="2" s="1"/>
  <c r="E72" i="2"/>
  <c r="G72" i="2" s="1"/>
  <c r="E114" i="2"/>
  <c r="G114" i="2" s="1"/>
  <c r="F28" i="2"/>
  <c r="H28" i="2" s="1"/>
  <c r="J92" i="1"/>
  <c r="F86" i="2"/>
  <c r="H86" i="2" s="1"/>
  <c r="J148" i="1"/>
  <c r="F113" i="2"/>
  <c r="H113" i="2" s="1"/>
  <c r="J170" i="1"/>
  <c r="F139" i="2"/>
  <c r="H139" i="2" s="1"/>
  <c r="J198" i="1"/>
  <c r="G68" i="1"/>
  <c r="J70" i="1"/>
  <c r="J97" i="1"/>
  <c r="E101" i="2"/>
  <c r="G101" i="2" s="1"/>
  <c r="E106" i="2"/>
  <c r="G106" i="2" s="1"/>
  <c r="E110" i="2"/>
  <c r="G110" i="2" s="1"/>
  <c r="E113" i="2"/>
  <c r="G113" i="2" s="1"/>
  <c r="G399" i="1"/>
  <c r="E131" i="2"/>
  <c r="G131" i="2" s="1"/>
  <c r="G422" i="1"/>
  <c r="G426" i="1"/>
  <c r="G429" i="1"/>
  <c r="G436" i="1"/>
  <c r="G444" i="1"/>
  <c r="G448" i="1"/>
  <c r="G453" i="1"/>
  <c r="G462" i="1"/>
  <c r="G471" i="1"/>
  <c r="E328" i="2"/>
  <c r="G328" i="2" s="1"/>
  <c r="E293" i="2"/>
  <c r="G293" i="2" s="1"/>
  <c r="G376" i="1"/>
  <c r="G402" i="1"/>
  <c r="G408" i="1"/>
  <c r="G430" i="1"/>
  <c r="G437" i="1"/>
  <c r="G457" i="1"/>
  <c r="G490" i="1"/>
  <c r="G497" i="1"/>
  <c r="F56" i="2"/>
  <c r="H56" i="2" s="1"/>
  <c r="J335" i="1"/>
  <c r="G7" i="1"/>
  <c r="G11" i="1"/>
  <c r="G15" i="1"/>
  <c r="G27" i="1"/>
  <c r="G31" i="1"/>
  <c r="G35" i="1"/>
  <c r="G39" i="1"/>
  <c r="G43" i="1"/>
  <c r="G88" i="1"/>
  <c r="E37" i="2"/>
  <c r="G37" i="2" s="1"/>
  <c r="E38" i="2"/>
  <c r="G38" i="2" s="1"/>
  <c r="E40" i="2"/>
  <c r="G40" i="2" s="1"/>
  <c r="E82" i="2"/>
  <c r="G82" i="2" s="1"/>
  <c r="I82" i="2" s="1"/>
  <c r="E86" i="2"/>
  <c r="G86" i="2" s="1"/>
  <c r="E96" i="2"/>
  <c r="G96" i="2" s="1"/>
  <c r="G160" i="1"/>
  <c r="E104" i="2"/>
  <c r="G104" i="2" s="1"/>
  <c r="G172" i="1"/>
  <c r="E118" i="2"/>
  <c r="G118" i="2" s="1"/>
  <c r="E125" i="2"/>
  <c r="G125" i="2" s="1"/>
  <c r="I125" i="2" s="1"/>
  <c r="G195" i="1"/>
  <c r="E139" i="2"/>
  <c r="G139" i="2" s="1"/>
  <c r="E144" i="2"/>
  <c r="G144" i="2" s="1"/>
  <c r="E150" i="2"/>
  <c r="G150" i="2" s="1"/>
  <c r="E156" i="2"/>
  <c r="G156" i="2" s="1"/>
  <c r="E160" i="2"/>
  <c r="G160" i="2" s="1"/>
  <c r="E164" i="2"/>
  <c r="G164" i="2" s="1"/>
  <c r="G235" i="1"/>
  <c r="J249" i="1"/>
  <c r="E252" i="2"/>
  <c r="G252" i="2" s="1"/>
  <c r="E266" i="2"/>
  <c r="G266" i="2" s="1"/>
  <c r="G326" i="1"/>
  <c r="E283" i="2"/>
  <c r="G283" i="2" s="1"/>
  <c r="G340" i="1"/>
  <c r="G346" i="1"/>
  <c r="E305" i="2"/>
  <c r="G305" i="2" s="1"/>
  <c r="G366" i="1"/>
  <c r="E339" i="2"/>
  <c r="G339" i="2" s="1"/>
  <c r="G483" i="1"/>
  <c r="G337" i="1"/>
  <c r="G378" i="1"/>
  <c r="G382" i="1"/>
  <c r="G400" i="1"/>
  <c r="G405" i="1"/>
  <c r="G415" i="1"/>
  <c r="G427" i="1"/>
  <c r="G487" i="1"/>
  <c r="F224" i="2"/>
  <c r="H224" i="2" s="1"/>
  <c r="J270" i="1"/>
  <c r="F395" i="2"/>
  <c r="H395" i="2" s="1"/>
  <c r="J467" i="1"/>
  <c r="G19" i="1"/>
  <c r="G23" i="1"/>
  <c r="E145" i="2"/>
  <c r="G145" i="2" s="1"/>
  <c r="G47" i="1"/>
  <c r="E329" i="2"/>
  <c r="G329" i="2" s="1"/>
  <c r="G51" i="1"/>
  <c r="G55" i="1"/>
  <c r="E356" i="2"/>
  <c r="G356" i="2" s="1"/>
  <c r="G59" i="1"/>
  <c r="G63" i="1"/>
  <c r="E42" i="2"/>
  <c r="G42" i="2" s="1"/>
  <c r="E49" i="2"/>
  <c r="G49" i="2" s="1"/>
  <c r="G134" i="1"/>
  <c r="E88" i="2"/>
  <c r="G88" i="2" s="1"/>
  <c r="E94" i="2"/>
  <c r="G94" i="2" s="1"/>
  <c r="E62" i="2"/>
  <c r="G62" i="2" s="1"/>
  <c r="G173" i="1"/>
  <c r="G185" i="1"/>
  <c r="E137" i="2"/>
  <c r="G137" i="2" s="1"/>
  <c r="G206" i="1"/>
  <c r="E157" i="2"/>
  <c r="G157" i="2" s="1"/>
  <c r="E204" i="2"/>
  <c r="G204" i="2" s="1"/>
  <c r="G256" i="1"/>
  <c r="G265" i="1"/>
  <c r="G297" i="1"/>
  <c r="J305" i="1"/>
  <c r="E265" i="2"/>
  <c r="G265" i="2" s="1"/>
  <c r="E268" i="2"/>
  <c r="G268" i="2" s="1"/>
  <c r="G335" i="1"/>
  <c r="G362" i="1"/>
  <c r="E343" i="2"/>
  <c r="G343" i="2" s="1"/>
  <c r="G472" i="1"/>
  <c r="G474" i="1"/>
  <c r="G476" i="1"/>
  <c r="E219" i="2"/>
  <c r="G219" i="2" s="1"/>
  <c r="E155" i="2"/>
  <c r="G155" i="2" s="1"/>
  <c r="E261" i="2"/>
  <c r="G261" i="2" s="1"/>
  <c r="E274" i="2"/>
  <c r="G274" i="2" s="1"/>
  <c r="G344" i="1"/>
  <c r="G349" i="1"/>
  <c r="E315" i="2"/>
  <c r="G315" i="2" s="1"/>
  <c r="G361" i="1"/>
  <c r="E332" i="2"/>
  <c r="G332" i="2" s="1"/>
  <c r="G367" i="1"/>
  <c r="G377" i="1"/>
  <c r="G420" i="1"/>
  <c r="G441" i="1"/>
  <c r="G450" i="1"/>
  <c r="G458" i="1"/>
  <c r="G475" i="1"/>
  <c r="G478" i="1"/>
  <c r="G211" i="1"/>
  <c r="G228" i="1"/>
  <c r="G230" i="1"/>
  <c r="G282" i="1"/>
  <c r="E153" i="2"/>
  <c r="G153" i="2" s="1"/>
  <c r="G324" i="1"/>
  <c r="E285" i="2"/>
  <c r="G285" i="2" s="1"/>
  <c r="E287" i="2"/>
  <c r="G287" i="2" s="1"/>
  <c r="E298" i="2"/>
  <c r="G298" i="2" s="1"/>
  <c r="E311" i="2"/>
  <c r="G311" i="2" s="1"/>
  <c r="E326" i="2"/>
  <c r="G326" i="2" s="1"/>
  <c r="G368" i="1"/>
  <c r="E342" i="2"/>
  <c r="G342" i="2" s="1"/>
  <c r="G373" i="1"/>
  <c r="E360" i="2"/>
  <c r="G360" i="2" s="1"/>
  <c r="I360" i="2" s="1"/>
  <c r="G396" i="1"/>
  <c r="G398" i="1"/>
  <c r="G407" i="1"/>
  <c r="G417" i="1"/>
  <c r="G421" i="1"/>
  <c r="G434" i="1"/>
  <c r="G435" i="1"/>
  <c r="G443" i="1"/>
  <c r="G452" i="1"/>
  <c r="G461" i="1"/>
  <c r="G464" i="1"/>
  <c r="G469" i="1"/>
  <c r="G473" i="1"/>
  <c r="G482" i="1"/>
  <c r="J219" i="1"/>
  <c r="J441" i="1"/>
  <c r="J454" i="1"/>
  <c r="E26" i="2"/>
  <c r="G26" i="2" s="1"/>
  <c r="E89" i="2"/>
  <c r="G89" i="2" s="1"/>
  <c r="J190" i="1"/>
  <c r="J221" i="1"/>
  <c r="J324" i="1"/>
  <c r="J352" i="1"/>
  <c r="J368" i="1"/>
  <c r="J485" i="1"/>
  <c r="E32" i="2"/>
  <c r="G32" i="2" s="1"/>
  <c r="E109" i="2"/>
  <c r="G109" i="2" s="1"/>
  <c r="E251" i="2"/>
  <c r="G251" i="2" s="1"/>
  <c r="E350" i="2"/>
  <c r="G350" i="2" s="1"/>
  <c r="J82" i="1"/>
  <c r="J142" i="1"/>
  <c r="J226" i="1"/>
  <c r="J260" i="1"/>
  <c r="J286" i="1"/>
  <c r="G329" i="1"/>
  <c r="J349" i="1"/>
  <c r="J383" i="1"/>
  <c r="E17" i="2"/>
  <c r="G17" i="2" s="1"/>
  <c r="E57" i="2"/>
  <c r="G57" i="2" s="1"/>
  <c r="E172" i="2"/>
  <c r="G172" i="2" s="1"/>
  <c r="E297" i="2"/>
  <c r="G297" i="2" s="1"/>
  <c r="E374" i="2"/>
  <c r="G374" i="2" s="1"/>
  <c r="E22" i="2"/>
  <c r="G22" i="2" s="1"/>
  <c r="E33" i="2"/>
  <c r="G33" i="2" s="1"/>
  <c r="E58" i="2"/>
  <c r="G58" i="2" s="1"/>
  <c r="E127" i="2"/>
  <c r="G127" i="2" s="1"/>
  <c r="E152" i="2"/>
  <c r="G152" i="2" s="1"/>
  <c r="E232" i="2"/>
  <c r="G232" i="2" s="1"/>
  <c r="E295" i="2"/>
  <c r="G295" i="2" s="1"/>
  <c r="E338" i="2"/>
  <c r="G338" i="2" s="1"/>
  <c r="E371" i="2"/>
  <c r="G371" i="2" s="1"/>
  <c r="J7" i="1"/>
  <c r="F22" i="2"/>
  <c r="H22" i="2" s="1"/>
  <c r="J9" i="1"/>
  <c r="F30" i="2"/>
  <c r="H30" i="2" s="1"/>
  <c r="J11" i="1"/>
  <c r="F33" i="2"/>
  <c r="H33" i="2" s="1"/>
  <c r="J13" i="1"/>
  <c r="F45" i="2"/>
  <c r="H45" i="2" s="1"/>
  <c r="J15" i="1"/>
  <c r="F58" i="2"/>
  <c r="H58" i="2" s="1"/>
  <c r="J17" i="1"/>
  <c r="F108" i="2"/>
  <c r="H108" i="2" s="1"/>
  <c r="J19" i="1"/>
  <c r="F127" i="2"/>
  <c r="H127" i="2" s="1"/>
  <c r="J21" i="1"/>
  <c r="F138" i="2"/>
  <c r="H138" i="2" s="1"/>
  <c r="J23" i="1"/>
  <c r="F145" i="2"/>
  <c r="H145" i="2" s="1"/>
  <c r="J25" i="1"/>
  <c r="F152" i="2"/>
  <c r="H152" i="2" s="1"/>
  <c r="J27" i="1"/>
  <c r="F172" i="2"/>
  <c r="H172" i="2" s="1"/>
  <c r="J29" i="1"/>
  <c r="F205" i="2"/>
  <c r="H205" i="2" s="1"/>
  <c r="J31" i="1"/>
  <c r="F219" i="2"/>
  <c r="H219" i="2" s="1"/>
  <c r="J33" i="1"/>
  <c r="F232" i="2"/>
  <c r="H232" i="2" s="1"/>
  <c r="J35" i="1"/>
  <c r="F251" i="2"/>
  <c r="H251" i="2" s="1"/>
  <c r="J37" i="1"/>
  <c r="F280" i="2"/>
  <c r="H280" i="2" s="1"/>
  <c r="J39" i="1"/>
  <c r="F282" i="2"/>
  <c r="H282" i="2" s="1"/>
  <c r="J41" i="1"/>
  <c r="F295" i="2"/>
  <c r="H295" i="2" s="1"/>
  <c r="J43" i="1"/>
  <c r="F297" i="2"/>
  <c r="H297" i="2" s="1"/>
  <c r="J45" i="1"/>
  <c r="F313" i="2"/>
  <c r="H313" i="2" s="1"/>
  <c r="J47" i="1"/>
  <c r="F329" i="2"/>
  <c r="H329" i="2" s="1"/>
  <c r="J49" i="1"/>
  <c r="F338" i="2"/>
  <c r="H338" i="2" s="1"/>
  <c r="J51" i="1"/>
  <c r="F350" i="2"/>
  <c r="H350" i="2" s="1"/>
  <c r="J53" i="1"/>
  <c r="F353" i="2"/>
  <c r="H353" i="2" s="1"/>
  <c r="J55" i="1"/>
  <c r="F356" i="2"/>
  <c r="H356" i="2" s="1"/>
  <c r="J57" i="1"/>
  <c r="F371" i="2"/>
  <c r="H371" i="2" s="1"/>
  <c r="J59" i="1"/>
  <c r="F374" i="2"/>
  <c r="H374" i="2" s="1"/>
  <c r="E372" i="2"/>
  <c r="G372" i="2" s="1"/>
  <c r="G58" i="1"/>
  <c r="G60" i="1"/>
  <c r="E384" i="2"/>
  <c r="G384" i="2" s="1"/>
  <c r="E387" i="2"/>
  <c r="G387" i="2" s="1"/>
  <c r="G62" i="1"/>
  <c r="G64" i="1"/>
  <c r="E397" i="2"/>
  <c r="G397" i="2" s="1"/>
  <c r="E138" i="2"/>
  <c r="G138" i="2" s="1"/>
  <c r="G20" i="1"/>
  <c r="E130" i="2"/>
  <c r="G130" i="2" s="1"/>
  <c r="G24" i="1"/>
  <c r="E146" i="2"/>
  <c r="G146" i="2" s="1"/>
  <c r="E165" i="2"/>
  <c r="G165" i="2" s="1"/>
  <c r="G26" i="1"/>
  <c r="G28" i="1"/>
  <c r="E179" i="2"/>
  <c r="G179" i="2" s="1"/>
  <c r="E208" i="2"/>
  <c r="G208" i="2" s="1"/>
  <c r="G30" i="1"/>
  <c r="G32" i="1"/>
  <c r="E230" i="2"/>
  <c r="G230" i="2" s="1"/>
  <c r="E239" i="2"/>
  <c r="G239" i="2" s="1"/>
  <c r="G34" i="1"/>
  <c r="G36" i="1"/>
  <c r="E271" i="2"/>
  <c r="G271" i="2" s="1"/>
  <c r="E281" i="2"/>
  <c r="G281" i="2" s="1"/>
  <c r="G38" i="1"/>
  <c r="G40" i="1"/>
  <c r="E289" i="2"/>
  <c r="G289" i="2" s="1"/>
  <c r="E296" i="2"/>
  <c r="G296" i="2" s="1"/>
  <c r="G42" i="1"/>
  <c r="G44" i="1"/>
  <c r="E304" i="2"/>
  <c r="G304" i="2" s="1"/>
  <c r="E318" i="2"/>
  <c r="G318" i="2" s="1"/>
  <c r="G46" i="1"/>
  <c r="G48" i="1"/>
  <c r="E330" i="2"/>
  <c r="G330" i="2" s="1"/>
  <c r="E347" i="2"/>
  <c r="G347" i="2" s="1"/>
  <c r="G50" i="1"/>
  <c r="G52" i="1"/>
  <c r="E352" i="2"/>
  <c r="G352" i="2" s="1"/>
  <c r="I352" i="2" s="1"/>
  <c r="E355" i="2"/>
  <c r="G355" i="2" s="1"/>
  <c r="G54" i="1"/>
  <c r="G56" i="1"/>
  <c r="E366" i="2"/>
  <c r="G366" i="2" s="1"/>
  <c r="E30" i="2"/>
  <c r="G30" i="2" s="1"/>
  <c r="I30" i="2" s="1"/>
  <c r="E45" i="2"/>
  <c r="G45" i="2" s="1"/>
  <c r="E108" i="2"/>
  <c r="G108" i="2" s="1"/>
  <c r="E140" i="2"/>
  <c r="G140" i="2" s="1"/>
  <c r="E205" i="2"/>
  <c r="G205" i="2" s="1"/>
  <c r="E280" i="2"/>
  <c r="G280" i="2" s="1"/>
  <c r="E313" i="2"/>
  <c r="G313" i="2" s="1"/>
  <c r="E353" i="2"/>
  <c r="G353" i="2" s="1"/>
  <c r="E386" i="2"/>
  <c r="G386" i="2" s="1"/>
  <c r="F386" i="2"/>
  <c r="H386" i="2" s="1"/>
  <c r="F396" i="2"/>
  <c r="H396" i="2" s="1"/>
  <c r="J312" i="1"/>
  <c r="G315" i="1"/>
  <c r="J344" i="1"/>
  <c r="J111" i="1"/>
  <c r="J139" i="1"/>
  <c r="J203" i="1"/>
  <c r="J224" i="1"/>
  <c r="J263" i="1"/>
  <c r="J279" i="1"/>
  <c r="J309" i="1"/>
  <c r="J81" i="1"/>
  <c r="J93" i="1"/>
  <c r="J113" i="1"/>
  <c r="J129" i="1"/>
  <c r="J166" i="1"/>
  <c r="J258" i="1"/>
  <c r="J319" i="1"/>
  <c r="E365" i="2"/>
  <c r="G365" i="2" s="1"/>
  <c r="G388" i="1"/>
  <c r="E368" i="2"/>
  <c r="G368" i="2" s="1"/>
  <c r="G392" i="1"/>
  <c r="E51" i="2"/>
  <c r="G51" i="2" s="1"/>
  <c r="G401" i="1"/>
  <c r="F60" i="2"/>
  <c r="H60" i="2" s="1"/>
  <c r="J119" i="1"/>
  <c r="F66" i="2"/>
  <c r="H66" i="2" s="1"/>
  <c r="J125" i="1"/>
  <c r="F84" i="2"/>
  <c r="H84" i="2" s="1"/>
  <c r="J146" i="1"/>
  <c r="F99" i="2"/>
  <c r="H99" i="2" s="1"/>
  <c r="J157" i="1"/>
  <c r="F128" i="2"/>
  <c r="H128" i="2" s="1"/>
  <c r="J187" i="1"/>
  <c r="F141" i="2"/>
  <c r="H141" i="2" s="1"/>
  <c r="J199" i="1"/>
  <c r="F161" i="2"/>
  <c r="H161" i="2" s="1"/>
  <c r="J216" i="1"/>
  <c r="F169" i="2"/>
  <c r="H169" i="2" s="1"/>
  <c r="J222" i="1"/>
  <c r="F175" i="2"/>
  <c r="H175" i="2" s="1"/>
  <c r="J229" i="1"/>
  <c r="F183" i="2"/>
  <c r="H183" i="2" s="1"/>
  <c r="J232" i="1"/>
  <c r="F188" i="2"/>
  <c r="H188" i="2" s="1"/>
  <c r="J240" i="1"/>
  <c r="F196" i="2"/>
  <c r="H196" i="2" s="1"/>
  <c r="J246" i="1"/>
  <c r="F237" i="2"/>
  <c r="H237" i="2" s="1"/>
  <c r="J283" i="1"/>
  <c r="F249" i="2"/>
  <c r="H249" i="2" s="1"/>
  <c r="J294" i="1"/>
  <c r="F256" i="2"/>
  <c r="H256" i="2" s="1"/>
  <c r="J301" i="1"/>
  <c r="F292" i="2"/>
  <c r="H292" i="2" s="1"/>
  <c r="J340" i="1"/>
  <c r="F323" i="2"/>
  <c r="H323" i="2" s="1"/>
  <c r="J358" i="1"/>
  <c r="F348" i="2"/>
  <c r="H348" i="2" s="1"/>
  <c r="J377" i="1"/>
  <c r="F359" i="2"/>
  <c r="H359" i="2" s="1"/>
  <c r="J386" i="1"/>
  <c r="F367" i="2"/>
  <c r="H367" i="2" s="1"/>
  <c r="J390" i="1"/>
  <c r="F68" i="2"/>
  <c r="H68" i="2" s="1"/>
  <c r="J406" i="1"/>
  <c r="F378" i="2"/>
  <c r="H378" i="2" s="1"/>
  <c r="J470" i="1"/>
  <c r="F78" i="2"/>
  <c r="H78" i="2" s="1"/>
  <c r="J471" i="1"/>
  <c r="F320" i="2"/>
  <c r="H320" i="2" s="1"/>
  <c r="J479" i="1"/>
  <c r="F391" i="2"/>
  <c r="H391" i="2" s="1"/>
  <c r="J488" i="1"/>
  <c r="E129" i="2"/>
  <c r="G129" i="2" s="1"/>
  <c r="G188" i="1"/>
  <c r="E359" i="2"/>
  <c r="G359" i="2" s="1"/>
  <c r="G386" i="1"/>
  <c r="E59" i="2"/>
  <c r="G59" i="2" s="1"/>
  <c r="G404" i="1"/>
  <c r="G115" i="1"/>
  <c r="E117" i="2"/>
  <c r="G117" i="2" s="1"/>
  <c r="G178" i="1"/>
  <c r="E270" i="2"/>
  <c r="G270" i="2" s="1"/>
  <c r="G318" i="1"/>
  <c r="G107" i="1"/>
  <c r="E158" i="2"/>
  <c r="G158" i="2" s="1"/>
  <c r="G210" i="1"/>
  <c r="J4" i="1"/>
  <c r="J77" i="1"/>
  <c r="J99" i="1"/>
  <c r="J109" i="1"/>
  <c r="J133" i="1"/>
  <c r="G154" i="1"/>
  <c r="G159" i="1"/>
  <c r="J168" i="1"/>
  <c r="J181" i="1"/>
  <c r="J236" i="1"/>
  <c r="J243" i="1"/>
  <c r="E367" i="2"/>
  <c r="G367" i="2" s="1"/>
  <c r="G390" i="1"/>
  <c r="E154" i="2"/>
  <c r="G154" i="2" s="1"/>
  <c r="G428" i="1"/>
  <c r="J445" i="1"/>
  <c r="J468" i="1"/>
  <c r="J495" i="1"/>
  <c r="E102" i="2"/>
  <c r="G102" i="2" s="1"/>
  <c r="G412" i="1"/>
  <c r="G101" i="1"/>
  <c r="G123" i="1"/>
  <c r="G130" i="1"/>
  <c r="G234" i="1"/>
  <c r="G251" i="1"/>
  <c r="G356" i="1"/>
  <c r="G360" i="1"/>
  <c r="G372" i="1"/>
  <c r="G418" i="1"/>
  <c r="E187" i="2"/>
  <c r="G187" i="2" s="1"/>
  <c r="G432" i="1"/>
  <c r="F123" i="2"/>
  <c r="H123" i="2" s="1"/>
  <c r="J416" i="1"/>
  <c r="F319" i="2"/>
  <c r="H319" i="2" s="1"/>
  <c r="J449" i="1"/>
  <c r="F381" i="2"/>
  <c r="H381" i="2" s="1"/>
  <c r="J482" i="1"/>
  <c r="J493" i="1"/>
  <c r="G170" i="1"/>
  <c r="G180" i="1"/>
  <c r="G215" i="1"/>
  <c r="G336" i="1"/>
  <c r="G112" i="1"/>
  <c r="G137" i="1"/>
  <c r="G138" i="1"/>
  <c r="G144" i="1"/>
  <c r="G148" i="1"/>
  <c r="G158" i="1"/>
  <c r="G163" i="1"/>
  <c r="G165" i="1"/>
  <c r="G167" i="1"/>
  <c r="G169" i="1"/>
  <c r="G179" i="1"/>
  <c r="G182" i="1"/>
  <c r="G184" i="1"/>
  <c r="G189" i="1"/>
  <c r="G197" i="1"/>
  <c r="G209" i="1"/>
  <c r="G225" i="1"/>
  <c r="G316" i="1"/>
  <c r="G332" i="1"/>
  <c r="G345" i="1"/>
  <c r="G354" i="1"/>
  <c r="G371" i="1"/>
  <c r="G118" i="1"/>
  <c r="G150" i="1"/>
  <c r="G201" i="1"/>
  <c r="G205" i="1"/>
  <c r="G306" i="1"/>
  <c r="G313" i="1"/>
  <c r="G104" i="1"/>
  <c r="G117" i="1"/>
  <c r="G121" i="1"/>
  <c r="G149" i="1"/>
  <c r="G151" i="1"/>
  <c r="G156" i="1"/>
  <c r="G162" i="1"/>
  <c r="G175" i="1"/>
  <c r="G183" i="1"/>
  <c r="G200" i="1"/>
  <c r="G204" i="1"/>
  <c r="G296" i="1"/>
  <c r="G325" i="1"/>
  <c r="G339" i="1"/>
  <c r="G348" i="1"/>
  <c r="G82" i="1"/>
  <c r="E46" i="2"/>
  <c r="G46" i="2" s="1"/>
  <c r="G125" i="1"/>
  <c r="E66" i="2"/>
  <c r="G66" i="2" s="1"/>
  <c r="G222" i="1"/>
  <c r="E169" i="2"/>
  <c r="G169" i="2" s="1"/>
  <c r="G226" i="1"/>
  <c r="E331" i="2"/>
  <c r="G331" i="2" s="1"/>
  <c r="G232" i="1"/>
  <c r="E183" i="2"/>
  <c r="G183" i="2" s="1"/>
  <c r="G341" i="1"/>
  <c r="E294" i="2"/>
  <c r="G294" i="2" s="1"/>
  <c r="E346" i="2"/>
  <c r="G346" i="2" s="1"/>
  <c r="G375" i="1"/>
  <c r="F185" i="2"/>
  <c r="H185" i="2" s="1"/>
  <c r="J238" i="1"/>
  <c r="F285" i="2"/>
  <c r="H285" i="2" s="1"/>
  <c r="J325" i="1"/>
  <c r="F287" i="2"/>
  <c r="H287" i="2" s="1"/>
  <c r="J332" i="1"/>
  <c r="F293" i="2"/>
  <c r="H293" i="2" s="1"/>
  <c r="J339" i="1"/>
  <c r="F311" i="2"/>
  <c r="H311" i="2" s="1"/>
  <c r="J355" i="1"/>
  <c r="F147" i="2"/>
  <c r="H147" i="2" s="1"/>
  <c r="J425" i="1"/>
  <c r="F209" i="2"/>
  <c r="H209" i="2" s="1"/>
  <c r="J433" i="1"/>
  <c r="F276" i="2"/>
  <c r="H276" i="2" s="1"/>
  <c r="J443" i="1"/>
  <c r="F362" i="2"/>
  <c r="H362" i="2" s="1"/>
  <c r="J461" i="1"/>
  <c r="F377" i="2"/>
  <c r="H377" i="2" s="1"/>
  <c r="J469" i="1"/>
  <c r="G66" i="1"/>
  <c r="E336" i="2"/>
  <c r="G336" i="2" s="1"/>
  <c r="G73" i="1"/>
  <c r="E210" i="2"/>
  <c r="G210" i="2" s="1"/>
  <c r="G81" i="1"/>
  <c r="E212" i="2"/>
  <c r="G212" i="2" s="1"/>
  <c r="G89" i="1"/>
  <c r="E25" i="2"/>
  <c r="G25" i="2" s="1"/>
  <c r="G90" i="1"/>
  <c r="E27" i="2"/>
  <c r="G27" i="2" s="1"/>
  <c r="J91" i="1"/>
  <c r="G93" i="1"/>
  <c r="E29" i="2"/>
  <c r="G29" i="2" s="1"/>
  <c r="G100" i="1"/>
  <c r="G110" i="1"/>
  <c r="G114" i="1"/>
  <c r="G116" i="1"/>
  <c r="E52" i="2"/>
  <c r="G52" i="2" s="1"/>
  <c r="G120" i="1"/>
  <c r="E61" i="2"/>
  <c r="G61" i="2" s="1"/>
  <c r="G127" i="1"/>
  <c r="G131" i="1"/>
  <c r="G133" i="1"/>
  <c r="E75" i="2"/>
  <c r="G75" i="2" s="1"/>
  <c r="J138" i="1"/>
  <c r="G140" i="1"/>
  <c r="G141" i="1"/>
  <c r="E90" i="2"/>
  <c r="G90" i="2" s="1"/>
  <c r="G147" i="1"/>
  <c r="J151" i="1"/>
  <c r="G153" i="1"/>
  <c r="G155" i="1"/>
  <c r="G157" i="1"/>
  <c r="E99" i="2"/>
  <c r="G99" i="2" s="1"/>
  <c r="G164" i="1"/>
  <c r="J165" i="1"/>
  <c r="G176" i="1"/>
  <c r="G181" i="1"/>
  <c r="E121" i="2"/>
  <c r="G121" i="2" s="1"/>
  <c r="G186" i="1"/>
  <c r="G192" i="1"/>
  <c r="G199" i="1"/>
  <c r="E141" i="2"/>
  <c r="G141" i="2" s="1"/>
  <c r="G203" i="1"/>
  <c r="E148" i="2"/>
  <c r="G148" i="2" s="1"/>
  <c r="G207" i="1"/>
  <c r="J215" i="1"/>
  <c r="G217" i="1"/>
  <c r="E174" i="2"/>
  <c r="G174" i="2" s="1"/>
  <c r="G227" i="1"/>
  <c r="J242" i="1"/>
  <c r="J245" i="1"/>
  <c r="G247" i="1"/>
  <c r="G250" i="1"/>
  <c r="J252" i="1"/>
  <c r="G253" i="1"/>
  <c r="G263" i="1"/>
  <c r="E217" i="2"/>
  <c r="G217" i="2" s="1"/>
  <c r="G269" i="1"/>
  <c r="E223" i="2"/>
  <c r="G223" i="2" s="1"/>
  <c r="G273" i="1"/>
  <c r="E227" i="2"/>
  <c r="G227" i="2" s="1"/>
  <c r="G280" i="1"/>
  <c r="E235" i="2"/>
  <c r="G235" i="2" s="1"/>
  <c r="G283" i="1"/>
  <c r="E237" i="2"/>
  <c r="G237" i="2" s="1"/>
  <c r="E259" i="2"/>
  <c r="G259" i="2" s="1"/>
  <c r="G304" i="1"/>
  <c r="J308" i="1"/>
  <c r="G312" i="1"/>
  <c r="E264" i="2"/>
  <c r="G264" i="2" s="1"/>
  <c r="J315" i="1"/>
  <c r="J316" i="1"/>
  <c r="J318" i="1"/>
  <c r="G321" i="1"/>
  <c r="G322" i="1"/>
  <c r="E275" i="2"/>
  <c r="G275" i="2" s="1"/>
  <c r="E286" i="2"/>
  <c r="G286" i="2" s="1"/>
  <c r="G331" i="1"/>
  <c r="G350" i="1"/>
  <c r="E307" i="2"/>
  <c r="G307" i="2" s="1"/>
  <c r="J379" i="1"/>
  <c r="J395" i="1"/>
  <c r="G85" i="1"/>
  <c r="E317" i="2"/>
  <c r="G317" i="2" s="1"/>
  <c r="G91" i="1"/>
  <c r="E119" i="2"/>
  <c r="G119" i="2" s="1"/>
  <c r="G146" i="1"/>
  <c r="E84" i="2"/>
  <c r="G84" i="2" s="1"/>
  <c r="G190" i="1"/>
  <c r="E134" i="2"/>
  <c r="G134" i="2" s="1"/>
  <c r="I134" i="2" s="1"/>
  <c r="G221" i="1"/>
  <c r="E167" i="2"/>
  <c r="G167" i="2" s="1"/>
  <c r="E308" i="2"/>
  <c r="G308" i="2" s="1"/>
  <c r="G351" i="1"/>
  <c r="G380" i="1"/>
  <c r="E351" i="2"/>
  <c r="G351" i="2" s="1"/>
  <c r="E68" i="2"/>
  <c r="G68" i="2" s="1"/>
  <c r="G406" i="1"/>
  <c r="F216" i="2"/>
  <c r="H216" i="2" s="1"/>
  <c r="J262" i="1"/>
  <c r="H12" i="2"/>
  <c r="F288" i="2"/>
  <c r="H288" i="2" s="1"/>
  <c r="J333" i="1"/>
  <c r="F300" i="2"/>
  <c r="H300" i="2" s="1"/>
  <c r="J343" i="1"/>
  <c r="F305" i="2"/>
  <c r="H305" i="2" s="1"/>
  <c r="J348" i="1"/>
  <c r="F308" i="2"/>
  <c r="H308" i="2" s="1"/>
  <c r="J351" i="1"/>
  <c r="F358" i="2"/>
  <c r="H358" i="2" s="1"/>
  <c r="J385" i="1"/>
  <c r="F77" i="2"/>
  <c r="H77" i="2" s="1"/>
  <c r="J409" i="1"/>
  <c r="F133" i="2"/>
  <c r="H133" i="2" s="1"/>
  <c r="J420" i="1"/>
  <c r="F244" i="2"/>
  <c r="H244" i="2" s="1"/>
  <c r="J440" i="1"/>
  <c r="F393" i="2"/>
  <c r="H393" i="2" s="1"/>
  <c r="J465" i="1"/>
  <c r="G4" i="1"/>
  <c r="G67" i="1"/>
  <c r="E23" i="2"/>
  <c r="G23" i="2" s="1"/>
  <c r="J73" i="1"/>
  <c r="G76" i="1"/>
  <c r="E20" i="2"/>
  <c r="G20" i="2" s="1"/>
  <c r="G79" i="1"/>
  <c r="E16" i="2"/>
  <c r="G16" i="2" s="1"/>
  <c r="G83" i="1"/>
  <c r="E53" i="2"/>
  <c r="G53" i="2" s="1"/>
  <c r="J89" i="1"/>
  <c r="G99" i="1"/>
  <c r="E34" i="2"/>
  <c r="G34" i="2" s="1"/>
  <c r="I34" i="2" s="1"/>
  <c r="G105" i="1"/>
  <c r="G108" i="1"/>
  <c r="G109" i="1"/>
  <c r="E43" i="2"/>
  <c r="G43" i="2" s="1"/>
  <c r="G111" i="1"/>
  <c r="E47" i="2"/>
  <c r="G47" i="2" s="1"/>
  <c r="G113" i="1"/>
  <c r="E48" i="2"/>
  <c r="G48" i="2" s="1"/>
  <c r="J116" i="1"/>
  <c r="G119" i="1"/>
  <c r="E60" i="2"/>
  <c r="G60" i="2" s="1"/>
  <c r="J120" i="1"/>
  <c r="G124" i="1"/>
  <c r="E65" i="2"/>
  <c r="G65" i="2" s="1"/>
  <c r="G126" i="1"/>
  <c r="E67" i="2"/>
  <c r="G67" i="2" s="1"/>
  <c r="G128" i="1"/>
  <c r="E70" i="2"/>
  <c r="G70" i="2" s="1"/>
  <c r="I70" i="2" s="1"/>
  <c r="G135" i="1"/>
  <c r="G139" i="1"/>
  <c r="E81" i="2"/>
  <c r="G81" i="2" s="1"/>
  <c r="J141" i="1"/>
  <c r="G143" i="1"/>
  <c r="G145" i="1"/>
  <c r="E83" i="2"/>
  <c r="G83" i="2" s="1"/>
  <c r="G152" i="1"/>
  <c r="E95" i="2"/>
  <c r="G95" i="2" s="1"/>
  <c r="J155" i="1"/>
  <c r="G161" i="1"/>
  <c r="E312" i="2"/>
  <c r="G312" i="2" s="1"/>
  <c r="G166" i="1"/>
  <c r="E107" i="2"/>
  <c r="G107" i="2" s="1"/>
  <c r="J176" i="1"/>
  <c r="G187" i="1"/>
  <c r="E128" i="2"/>
  <c r="G128" i="2" s="1"/>
  <c r="J207" i="1"/>
  <c r="G208" i="1"/>
  <c r="G216" i="1"/>
  <c r="E161" i="2"/>
  <c r="G161" i="2" s="1"/>
  <c r="G220" i="1"/>
  <c r="G223" i="1"/>
  <c r="E170" i="2"/>
  <c r="G170" i="2" s="1"/>
  <c r="G231" i="1"/>
  <c r="E180" i="2"/>
  <c r="G180" i="2" s="1"/>
  <c r="G233" i="1"/>
  <c r="G236" i="1"/>
  <c r="E184" i="2"/>
  <c r="G184" i="2" s="1"/>
  <c r="G237" i="1"/>
  <c r="E186" i="2"/>
  <c r="G186" i="2" s="1"/>
  <c r="G239" i="1"/>
  <c r="G240" i="1"/>
  <c r="E188" i="2"/>
  <c r="G188" i="2" s="1"/>
  <c r="G241" i="1"/>
  <c r="G243" i="1"/>
  <c r="E192" i="2"/>
  <c r="G192" i="2" s="1"/>
  <c r="G246" i="1"/>
  <c r="E196" i="2"/>
  <c r="G196" i="2" s="1"/>
  <c r="E197" i="2"/>
  <c r="G197" i="2" s="1"/>
  <c r="G248" i="1"/>
  <c r="E206" i="2"/>
  <c r="G206" i="2" s="1"/>
  <c r="G254" i="1"/>
  <c r="G259" i="1"/>
  <c r="E213" i="2"/>
  <c r="G213" i="2" s="1"/>
  <c r="G266" i="1"/>
  <c r="E12" i="2"/>
  <c r="G267" i="1"/>
  <c r="E220" i="2"/>
  <c r="G220" i="2" s="1"/>
  <c r="J269" i="1"/>
  <c r="G278" i="1"/>
  <c r="E233" i="2"/>
  <c r="G233" i="2" s="1"/>
  <c r="G286" i="1"/>
  <c r="E240" i="2"/>
  <c r="G240" i="2" s="1"/>
  <c r="E255" i="2"/>
  <c r="G255" i="2" s="1"/>
  <c r="G300" i="1"/>
  <c r="J304" i="1"/>
  <c r="G309" i="1"/>
  <c r="E267" i="2"/>
  <c r="G267" i="2" s="1"/>
  <c r="G311" i="1"/>
  <c r="G314" i="1"/>
  <c r="G319" i="1"/>
  <c r="E272" i="2"/>
  <c r="G272" i="2" s="1"/>
  <c r="J321" i="1"/>
  <c r="E277" i="2"/>
  <c r="G277" i="2" s="1"/>
  <c r="G323" i="1"/>
  <c r="E288" i="2"/>
  <c r="G288" i="2" s="1"/>
  <c r="G333" i="1"/>
  <c r="E291" i="2"/>
  <c r="G291" i="2" s="1"/>
  <c r="G338" i="1"/>
  <c r="G385" i="1"/>
  <c r="E358" i="2"/>
  <c r="G358" i="2" s="1"/>
  <c r="E370" i="2"/>
  <c r="G370" i="2" s="1"/>
  <c r="I370" i="2" s="1"/>
  <c r="G394" i="1"/>
  <c r="G409" i="1"/>
  <c r="E77" i="2"/>
  <c r="G77" i="2" s="1"/>
  <c r="G74" i="1"/>
  <c r="E54" i="2"/>
  <c r="G54" i="2" s="1"/>
  <c r="G75" i="1"/>
  <c r="E18" i="2"/>
  <c r="G18" i="2" s="1"/>
  <c r="G77" i="1"/>
  <c r="E15" i="2"/>
  <c r="G15" i="2" s="1"/>
  <c r="I15" i="2" s="1"/>
  <c r="G129" i="1"/>
  <c r="E71" i="2"/>
  <c r="G71" i="2" s="1"/>
  <c r="G168" i="1"/>
  <c r="E111" i="2"/>
  <c r="G111" i="2" s="1"/>
  <c r="I111" i="2" s="1"/>
  <c r="G224" i="1"/>
  <c r="E171" i="2"/>
  <c r="G171" i="2" s="1"/>
  <c r="G245" i="1"/>
  <c r="E195" i="2"/>
  <c r="G195" i="2" s="1"/>
  <c r="G252" i="1"/>
  <c r="E203" i="2"/>
  <c r="G203" i="2" s="1"/>
  <c r="G258" i="1"/>
  <c r="E211" i="2"/>
  <c r="G211" i="2" s="1"/>
  <c r="G260" i="1"/>
  <c r="E214" i="2"/>
  <c r="G214" i="2" s="1"/>
  <c r="G262" i="1"/>
  <c r="E216" i="2"/>
  <c r="G216" i="2" s="1"/>
  <c r="G277" i="1"/>
  <c r="E231" i="2"/>
  <c r="G231" i="2" s="1"/>
  <c r="G285" i="1"/>
  <c r="E238" i="2"/>
  <c r="G238" i="2" s="1"/>
  <c r="G288" i="1"/>
  <c r="E241" i="2"/>
  <c r="G241" i="2" s="1"/>
  <c r="G291" i="1"/>
  <c r="E242" i="2"/>
  <c r="G242" i="2" s="1"/>
  <c r="G293" i="1"/>
  <c r="E168" i="2"/>
  <c r="G168" i="2" s="1"/>
  <c r="G299" i="1"/>
  <c r="E254" i="2"/>
  <c r="G254" i="2" s="1"/>
  <c r="G301" i="1"/>
  <c r="E256" i="2"/>
  <c r="G256" i="2" s="1"/>
  <c r="G303" i="1"/>
  <c r="E258" i="2"/>
  <c r="G258" i="2" s="1"/>
  <c r="E263" i="2"/>
  <c r="G263" i="2" s="1"/>
  <c r="G308" i="1"/>
  <c r="G317" i="1"/>
  <c r="E269" i="2"/>
  <c r="G269" i="2" s="1"/>
  <c r="G320" i="1"/>
  <c r="E273" i="2"/>
  <c r="G273" i="2" s="1"/>
  <c r="G397" i="1"/>
  <c r="E376" i="2"/>
  <c r="G376" i="2" s="1"/>
  <c r="F225" i="2"/>
  <c r="H225" i="2" s="1"/>
  <c r="J271" i="1"/>
  <c r="F233" i="2"/>
  <c r="H233" i="2" s="1"/>
  <c r="J278" i="1"/>
  <c r="F332" i="2"/>
  <c r="H332" i="2" s="1"/>
  <c r="J363" i="1"/>
  <c r="F339" i="2"/>
  <c r="H339" i="2" s="1"/>
  <c r="J369" i="1"/>
  <c r="F361" i="2"/>
  <c r="H361" i="2" s="1"/>
  <c r="J381" i="1"/>
  <c r="F363" i="2"/>
  <c r="H363" i="2" s="1"/>
  <c r="J389" i="1"/>
  <c r="G70" i="1"/>
  <c r="E24" i="2"/>
  <c r="G24" i="2" s="1"/>
  <c r="G71" i="1"/>
  <c r="E201" i="2"/>
  <c r="G201" i="2" s="1"/>
  <c r="G72" i="1"/>
  <c r="E14" i="2"/>
  <c r="G14" i="2" s="1"/>
  <c r="I14" i="2" s="1"/>
  <c r="J76" i="1"/>
  <c r="G92" i="1"/>
  <c r="E28" i="2"/>
  <c r="G28" i="2" s="1"/>
  <c r="G94" i="1"/>
  <c r="E248" i="2"/>
  <c r="G248" i="2" s="1"/>
  <c r="G97" i="1"/>
  <c r="E31" i="2"/>
  <c r="G31" i="2" s="1"/>
  <c r="I31" i="2" s="1"/>
  <c r="J124" i="1"/>
  <c r="J126" i="1"/>
  <c r="J128" i="1"/>
  <c r="G132" i="1"/>
  <c r="E74" i="2"/>
  <c r="G74" i="2" s="1"/>
  <c r="I74" i="2" s="1"/>
  <c r="G142" i="1"/>
  <c r="E87" i="2"/>
  <c r="G87" i="2" s="1"/>
  <c r="J145" i="1"/>
  <c r="J167" i="1"/>
  <c r="G177" i="1"/>
  <c r="E116" i="2"/>
  <c r="G116" i="2" s="1"/>
  <c r="J184" i="1"/>
  <c r="J189" i="1"/>
  <c r="G191" i="1"/>
  <c r="G198" i="1"/>
  <c r="G202" i="1"/>
  <c r="J210" i="1"/>
  <c r="G212" i="1"/>
  <c r="G219" i="1"/>
  <c r="E163" i="2"/>
  <c r="G163" i="2" s="1"/>
  <c r="J220" i="1"/>
  <c r="J223" i="1"/>
  <c r="G238" i="1"/>
  <c r="E185" i="2"/>
  <c r="G185" i="2" s="1"/>
  <c r="E194" i="2"/>
  <c r="G194" i="2" s="1"/>
  <c r="G244" i="1"/>
  <c r="J259" i="1"/>
  <c r="G261" i="1"/>
  <c r="E215" i="2"/>
  <c r="G215" i="2" s="1"/>
  <c r="G264" i="1"/>
  <c r="E218" i="2"/>
  <c r="G218" i="2" s="1"/>
  <c r="J266" i="1"/>
  <c r="G268" i="1"/>
  <c r="E222" i="2"/>
  <c r="G222" i="2" s="1"/>
  <c r="G270" i="1"/>
  <c r="E224" i="2"/>
  <c r="G224" i="2" s="1"/>
  <c r="G271" i="1"/>
  <c r="E225" i="2"/>
  <c r="G225" i="2" s="1"/>
  <c r="G279" i="1"/>
  <c r="E234" i="2"/>
  <c r="G234" i="2" s="1"/>
  <c r="G292" i="1"/>
  <c r="E247" i="2"/>
  <c r="G247" i="2" s="1"/>
  <c r="G295" i="1"/>
  <c r="E250" i="2"/>
  <c r="G250" i="2" s="1"/>
  <c r="E253" i="2"/>
  <c r="G253" i="2" s="1"/>
  <c r="G298" i="1"/>
  <c r="J300" i="1"/>
  <c r="G305" i="1"/>
  <c r="E260" i="2"/>
  <c r="G260" i="2" s="1"/>
  <c r="G307" i="1"/>
  <c r="E262" i="2"/>
  <c r="G262" i="2" s="1"/>
  <c r="G327" i="1"/>
  <c r="E278" i="2"/>
  <c r="G278" i="2" s="1"/>
  <c r="E279" i="2"/>
  <c r="G279" i="2" s="1"/>
  <c r="G328" i="1"/>
  <c r="E300" i="2"/>
  <c r="G300" i="2" s="1"/>
  <c r="G343" i="1"/>
  <c r="G381" i="1"/>
  <c r="E361" i="2"/>
  <c r="G361" i="2" s="1"/>
  <c r="G384" i="1"/>
  <c r="E357" i="2"/>
  <c r="G357" i="2" s="1"/>
  <c r="E78" i="2"/>
  <c r="G78" i="2" s="1"/>
  <c r="E133" i="2"/>
  <c r="G133" i="2" s="1"/>
  <c r="E176" i="2"/>
  <c r="G176" i="2" s="1"/>
  <c r="E189" i="2"/>
  <c r="G189" i="2" s="1"/>
  <c r="E236" i="2"/>
  <c r="G236" i="2" s="1"/>
  <c r="E333" i="2"/>
  <c r="G333" i="2" s="1"/>
  <c r="E344" i="2"/>
  <c r="G344" i="2" s="1"/>
  <c r="E392" i="2"/>
  <c r="G392" i="2" s="1"/>
  <c r="F36" i="2"/>
  <c r="H36" i="2" s="1"/>
  <c r="G359" i="1"/>
  <c r="E324" i="2"/>
  <c r="G324" i="2" s="1"/>
  <c r="G387" i="1"/>
  <c r="E364" i="2"/>
  <c r="G364" i="2" s="1"/>
  <c r="G389" i="1"/>
  <c r="E363" i="2"/>
  <c r="G363" i="2" s="1"/>
  <c r="G425" i="1"/>
  <c r="E147" i="2"/>
  <c r="G147" i="2" s="1"/>
  <c r="G433" i="1"/>
  <c r="E209" i="2"/>
  <c r="G209" i="2" s="1"/>
  <c r="G440" i="1"/>
  <c r="E244" i="2"/>
  <c r="G244" i="2" s="1"/>
  <c r="G445" i="1"/>
  <c r="E299" i="2"/>
  <c r="G299" i="2" s="1"/>
  <c r="G463" i="1"/>
  <c r="E383" i="2"/>
  <c r="G383" i="2" s="1"/>
  <c r="I383" i="2" s="1"/>
  <c r="G465" i="1"/>
  <c r="E393" i="2"/>
  <c r="G393" i="2" s="1"/>
  <c r="G468" i="1"/>
  <c r="E375" i="2"/>
  <c r="G375" i="2" s="1"/>
  <c r="G477" i="1"/>
  <c r="E207" i="2"/>
  <c r="G207" i="2" s="1"/>
  <c r="G481" i="1"/>
  <c r="E380" i="2"/>
  <c r="G380" i="2" s="1"/>
  <c r="G491" i="1"/>
  <c r="E394" i="2"/>
  <c r="G394" i="2" s="1"/>
  <c r="G492" i="1"/>
  <c r="E398" i="2"/>
  <c r="G398" i="2" s="1"/>
  <c r="G495" i="1"/>
  <c r="E182" i="2"/>
  <c r="G182" i="2" s="1"/>
  <c r="E19" i="2"/>
  <c r="G19" i="2" s="1"/>
  <c r="E35" i="2"/>
  <c r="G35" i="2" s="1"/>
  <c r="E226" i="2"/>
  <c r="G226" i="2" s="1"/>
  <c r="E245" i="2"/>
  <c r="G245" i="2" s="1"/>
  <c r="E290" i="2"/>
  <c r="G290" i="2" s="1"/>
  <c r="E337" i="2"/>
  <c r="G337" i="2" s="1"/>
  <c r="E377" i="2"/>
  <c r="G377" i="2" s="1"/>
  <c r="F40" i="2"/>
  <c r="H40" i="2" s="1"/>
  <c r="F88" i="2"/>
  <c r="H88" i="2" s="1"/>
  <c r="F104" i="2"/>
  <c r="H104" i="2" s="1"/>
  <c r="F135" i="2"/>
  <c r="H135" i="2" s="1"/>
  <c r="I135" i="2" s="1"/>
  <c r="G229" i="1"/>
  <c r="E175" i="2"/>
  <c r="G175" i="2" s="1"/>
  <c r="G242" i="1"/>
  <c r="E191" i="2"/>
  <c r="G191" i="2" s="1"/>
  <c r="G249" i="1"/>
  <c r="E199" i="2"/>
  <c r="G199" i="2" s="1"/>
  <c r="G274" i="1"/>
  <c r="E228" i="2"/>
  <c r="G228" i="2" s="1"/>
  <c r="G276" i="1"/>
  <c r="E229" i="2"/>
  <c r="G229" i="2" s="1"/>
  <c r="G294" i="1"/>
  <c r="E249" i="2"/>
  <c r="G249" i="2" s="1"/>
  <c r="G302" i="1"/>
  <c r="E257" i="2"/>
  <c r="G257" i="2" s="1"/>
  <c r="G342" i="1"/>
  <c r="G355" i="1"/>
  <c r="G357" i="1"/>
  <c r="G363" i="1"/>
  <c r="G369" i="1"/>
  <c r="G370" i="1"/>
  <c r="E341" i="2"/>
  <c r="G341" i="2" s="1"/>
  <c r="G383" i="1"/>
  <c r="J476" i="1"/>
  <c r="J477" i="1"/>
  <c r="J481" i="1"/>
  <c r="J483" i="1"/>
  <c r="J487" i="1"/>
  <c r="J491" i="1"/>
  <c r="J66" i="1"/>
  <c r="F336" i="2"/>
  <c r="H336" i="2" s="1"/>
  <c r="J71" i="1"/>
  <c r="F201" i="2"/>
  <c r="H201" i="2" s="1"/>
  <c r="J74" i="1"/>
  <c r="F54" i="2"/>
  <c r="H54" i="2" s="1"/>
  <c r="J83" i="1"/>
  <c r="F53" i="2"/>
  <c r="H53" i="2" s="1"/>
  <c r="J85" i="1"/>
  <c r="F317" i="2"/>
  <c r="H317" i="2" s="1"/>
  <c r="J94" i="1"/>
  <c r="F248" i="2"/>
  <c r="H248" i="2" s="1"/>
  <c r="J105" i="1"/>
  <c r="F39" i="2"/>
  <c r="H39" i="2" s="1"/>
  <c r="J110" i="1"/>
  <c r="F44" i="2"/>
  <c r="H44" i="2" s="1"/>
  <c r="J114" i="1"/>
  <c r="F49" i="2"/>
  <c r="H49" i="2" s="1"/>
  <c r="J117" i="1"/>
  <c r="F55" i="2"/>
  <c r="H55" i="2" s="1"/>
  <c r="J121" i="1"/>
  <c r="F63" i="2"/>
  <c r="H63" i="2" s="1"/>
  <c r="J137" i="1"/>
  <c r="F79" i="2"/>
  <c r="H79" i="2" s="1"/>
  <c r="J149" i="1"/>
  <c r="F92" i="2"/>
  <c r="H92" i="2" s="1"/>
  <c r="J153" i="1"/>
  <c r="F96" i="2"/>
  <c r="H96" i="2" s="1"/>
  <c r="J158" i="1"/>
  <c r="F100" i="2"/>
  <c r="H100" i="2" s="1"/>
  <c r="J169" i="1"/>
  <c r="F112" i="2"/>
  <c r="H112" i="2" s="1"/>
  <c r="J178" i="1"/>
  <c r="F117" i="2"/>
  <c r="H117" i="2" s="1"/>
  <c r="J182" i="1"/>
  <c r="F122" i="2"/>
  <c r="H122" i="2" s="1"/>
  <c r="I122" i="2" s="1"/>
  <c r="J197" i="1"/>
  <c r="F137" i="2"/>
  <c r="H137" i="2" s="1"/>
  <c r="J200" i="1"/>
  <c r="F142" i="2"/>
  <c r="H142" i="2" s="1"/>
  <c r="J204" i="1"/>
  <c r="F149" i="2"/>
  <c r="H149" i="2" s="1"/>
  <c r="J208" i="1"/>
  <c r="F156" i="2"/>
  <c r="H156" i="2" s="1"/>
  <c r="J217" i="1"/>
  <c r="F162" i="2"/>
  <c r="H162" i="2" s="1"/>
  <c r="J239" i="1"/>
  <c r="F186" i="2"/>
  <c r="H186" i="2" s="1"/>
  <c r="J247" i="1"/>
  <c r="F198" i="2"/>
  <c r="H198" i="2" s="1"/>
  <c r="J250" i="1"/>
  <c r="F200" i="2"/>
  <c r="H200" i="2" s="1"/>
  <c r="J254" i="1"/>
  <c r="F206" i="2"/>
  <c r="H206" i="2" s="1"/>
  <c r="J264" i="1"/>
  <c r="F218" i="2"/>
  <c r="H218" i="2" s="1"/>
  <c r="J267" i="1"/>
  <c r="F220" i="2"/>
  <c r="H220" i="2" s="1"/>
  <c r="J276" i="1"/>
  <c r="F229" i="2"/>
  <c r="H229" i="2" s="1"/>
  <c r="J280" i="1"/>
  <c r="F235" i="2"/>
  <c r="H235" i="2" s="1"/>
  <c r="J288" i="1"/>
  <c r="F241" i="2"/>
  <c r="H241" i="2" s="1"/>
  <c r="J292" i="1"/>
  <c r="F247" i="2"/>
  <c r="H247" i="2" s="1"/>
  <c r="J298" i="1"/>
  <c r="F253" i="2"/>
  <c r="H253" i="2" s="1"/>
  <c r="J306" i="1"/>
  <c r="F261" i="2"/>
  <c r="H261" i="2" s="1"/>
  <c r="J317" i="1"/>
  <c r="F269" i="2"/>
  <c r="H269" i="2" s="1"/>
  <c r="J320" i="1"/>
  <c r="F273" i="2"/>
  <c r="H273" i="2" s="1"/>
  <c r="J322" i="1"/>
  <c r="F275" i="2"/>
  <c r="H275" i="2" s="1"/>
  <c r="J327" i="1"/>
  <c r="F278" i="2"/>
  <c r="H278" i="2" s="1"/>
  <c r="J330" i="1"/>
  <c r="F284" i="2"/>
  <c r="H284" i="2" s="1"/>
  <c r="J341" i="1"/>
  <c r="F294" i="2"/>
  <c r="H294" i="2" s="1"/>
  <c r="J347" i="1"/>
  <c r="F303" i="2"/>
  <c r="H303" i="2" s="1"/>
  <c r="J350" i="1"/>
  <c r="F307" i="2"/>
  <c r="H307" i="2" s="1"/>
  <c r="J353" i="1"/>
  <c r="F310" i="2"/>
  <c r="H310" i="2" s="1"/>
  <c r="J359" i="1"/>
  <c r="F324" i="2"/>
  <c r="H324" i="2" s="1"/>
  <c r="J364" i="1"/>
  <c r="F333" i="2"/>
  <c r="H333" i="2" s="1"/>
  <c r="J365" i="1"/>
  <c r="F335" i="2"/>
  <c r="H335" i="2" s="1"/>
  <c r="J370" i="1"/>
  <c r="F341" i="2"/>
  <c r="H341" i="2" s="1"/>
  <c r="J374" i="1"/>
  <c r="F345" i="2"/>
  <c r="H345" i="2" s="1"/>
  <c r="J380" i="1"/>
  <c r="F351" i="2"/>
  <c r="H351" i="2" s="1"/>
  <c r="J384" i="1"/>
  <c r="F357" i="2"/>
  <c r="H357" i="2" s="1"/>
  <c r="J387" i="1"/>
  <c r="F364" i="2"/>
  <c r="H364" i="2" s="1"/>
  <c r="J393" i="1"/>
  <c r="F369" i="2"/>
  <c r="H369" i="2" s="1"/>
  <c r="J397" i="1"/>
  <c r="F376" i="2"/>
  <c r="H376" i="2" s="1"/>
  <c r="E56" i="2"/>
  <c r="G56" i="2" s="1"/>
  <c r="E173" i="2"/>
  <c r="G173" i="2" s="1"/>
  <c r="E246" i="2"/>
  <c r="G246" i="2" s="1"/>
  <c r="E276" i="2"/>
  <c r="G276" i="2" s="1"/>
  <c r="E292" i="2"/>
  <c r="G292" i="2" s="1"/>
  <c r="E306" i="2"/>
  <c r="G306" i="2" s="1"/>
  <c r="E322" i="2"/>
  <c r="G322" i="2" s="1"/>
  <c r="E348" i="2"/>
  <c r="G348" i="2" s="1"/>
  <c r="E362" i="2"/>
  <c r="G362" i="2" s="1"/>
  <c r="E381" i="2"/>
  <c r="G381" i="2" s="1"/>
  <c r="F27" i="2"/>
  <c r="H27" i="2" s="1"/>
  <c r="F72" i="2"/>
  <c r="H72" i="2" s="1"/>
  <c r="F153" i="2"/>
  <c r="H153" i="2" s="1"/>
  <c r="F180" i="2"/>
  <c r="H180" i="2" s="1"/>
  <c r="G330" i="1"/>
  <c r="E284" i="2"/>
  <c r="G284" i="2" s="1"/>
  <c r="G347" i="1"/>
  <c r="E303" i="2"/>
  <c r="G303" i="2" s="1"/>
  <c r="G352" i="1"/>
  <c r="E309" i="2"/>
  <c r="G309" i="2" s="1"/>
  <c r="G358" i="1"/>
  <c r="E323" i="2"/>
  <c r="G323" i="2" s="1"/>
  <c r="G365" i="1"/>
  <c r="E335" i="2"/>
  <c r="G335" i="2" s="1"/>
  <c r="G374" i="1"/>
  <c r="E345" i="2"/>
  <c r="G345" i="2" s="1"/>
  <c r="G379" i="1"/>
  <c r="E349" i="2"/>
  <c r="G349" i="2" s="1"/>
  <c r="G393" i="1"/>
  <c r="E369" i="2"/>
  <c r="G369" i="2" s="1"/>
  <c r="G395" i="1"/>
  <c r="E373" i="2"/>
  <c r="G373" i="2" s="1"/>
  <c r="I373" i="2" s="1"/>
  <c r="G416" i="1"/>
  <c r="E123" i="2"/>
  <c r="G123" i="2" s="1"/>
  <c r="G438" i="1"/>
  <c r="E243" i="2"/>
  <c r="G243" i="2" s="1"/>
  <c r="G446" i="1"/>
  <c r="E302" i="2"/>
  <c r="G302" i="2" s="1"/>
  <c r="G449" i="1"/>
  <c r="E319" i="2"/>
  <c r="G319" i="2" s="1"/>
  <c r="G451" i="1"/>
  <c r="E325" i="2"/>
  <c r="G325" i="2" s="1"/>
  <c r="G454" i="1"/>
  <c r="E334" i="2"/>
  <c r="G334" i="2" s="1"/>
  <c r="G456" i="1"/>
  <c r="E340" i="2"/>
  <c r="G340" i="2" s="1"/>
  <c r="G460" i="1"/>
  <c r="E354" i="2"/>
  <c r="G354" i="2" s="1"/>
  <c r="G467" i="1"/>
  <c r="E395" i="2"/>
  <c r="G395" i="2" s="1"/>
  <c r="G470" i="1"/>
  <c r="E378" i="2"/>
  <c r="G378" i="2" s="1"/>
  <c r="G479" i="1"/>
  <c r="E320" i="2"/>
  <c r="G320" i="2" s="1"/>
  <c r="G480" i="1"/>
  <c r="E379" i="2"/>
  <c r="G379" i="2" s="1"/>
  <c r="G484" i="1"/>
  <c r="E385" i="2"/>
  <c r="G385" i="2" s="1"/>
  <c r="G485" i="1"/>
  <c r="E388" i="2"/>
  <c r="G388" i="2" s="1"/>
  <c r="I388" i="2" s="1"/>
  <c r="G486" i="1"/>
  <c r="E389" i="2"/>
  <c r="G389" i="2" s="1"/>
  <c r="G488" i="1"/>
  <c r="E391" i="2"/>
  <c r="G391" i="2" s="1"/>
  <c r="G493" i="1"/>
  <c r="J101" i="1"/>
  <c r="F37" i="2"/>
  <c r="H37" i="2" s="1"/>
  <c r="J112" i="1"/>
  <c r="F166" i="2"/>
  <c r="H166" i="2" s="1"/>
  <c r="J118" i="1"/>
  <c r="F327" i="2"/>
  <c r="H327" i="2" s="1"/>
  <c r="J127" i="1"/>
  <c r="F69" i="2"/>
  <c r="H69" i="2" s="1"/>
  <c r="J135" i="1"/>
  <c r="F76" i="2"/>
  <c r="H76" i="2" s="1"/>
  <c r="J147" i="1"/>
  <c r="F85" i="2"/>
  <c r="H85" i="2" s="1"/>
  <c r="J154" i="1"/>
  <c r="F97" i="2"/>
  <c r="H97" i="2" s="1"/>
  <c r="J159" i="1"/>
  <c r="F101" i="2"/>
  <c r="H101" i="2" s="1"/>
  <c r="J175" i="1"/>
  <c r="F114" i="2"/>
  <c r="H114" i="2" s="1"/>
  <c r="J188" i="1"/>
  <c r="F129" i="2"/>
  <c r="H129" i="2" s="1"/>
  <c r="J192" i="1"/>
  <c r="F136" i="2"/>
  <c r="H136" i="2" s="1"/>
  <c r="J201" i="1"/>
  <c r="F143" i="2"/>
  <c r="H143" i="2" s="1"/>
  <c r="J205" i="1"/>
  <c r="F150" i="2"/>
  <c r="H150" i="2" s="1"/>
  <c r="J209" i="1"/>
  <c r="F157" i="2"/>
  <c r="H157" i="2" s="1"/>
  <c r="J227" i="1"/>
  <c r="F174" i="2"/>
  <c r="H174" i="2" s="1"/>
  <c r="J231" i="1"/>
  <c r="F177" i="2"/>
  <c r="H177" i="2" s="1"/>
  <c r="J234" i="1"/>
  <c r="F181" i="2"/>
  <c r="H181" i="2" s="1"/>
  <c r="J237" i="1"/>
  <c r="F193" i="2"/>
  <c r="H193" i="2" s="1"/>
  <c r="J244" i="1"/>
  <c r="F194" i="2"/>
  <c r="H194" i="2" s="1"/>
  <c r="J251" i="1"/>
  <c r="F202" i="2"/>
  <c r="H202" i="2" s="1"/>
  <c r="J261" i="1"/>
  <c r="F215" i="2"/>
  <c r="H215" i="2" s="1"/>
  <c r="J272" i="1"/>
  <c r="F226" i="2"/>
  <c r="H226" i="2" s="1"/>
  <c r="J282" i="1"/>
  <c r="F236" i="2"/>
  <c r="H236" i="2" s="1"/>
  <c r="J285" i="1"/>
  <c r="F238" i="2"/>
  <c r="H238" i="2" s="1"/>
  <c r="J296" i="1"/>
  <c r="F252" i="2"/>
  <c r="H252" i="2" s="1"/>
  <c r="J303" i="1"/>
  <c r="F258" i="2"/>
  <c r="H258" i="2" s="1"/>
  <c r="J307" i="1"/>
  <c r="F262" i="2"/>
  <c r="H262" i="2" s="1"/>
  <c r="J311" i="1"/>
  <c r="F151" i="2"/>
  <c r="H151" i="2" s="1"/>
  <c r="J314" i="1"/>
  <c r="F266" i="2"/>
  <c r="H266" i="2" s="1"/>
  <c r="J323" i="1"/>
  <c r="F277" i="2"/>
  <c r="H277" i="2" s="1"/>
  <c r="E13" i="2"/>
  <c r="G13" i="2" s="1"/>
  <c r="I13" i="2" s="1"/>
  <c r="E221" i="2"/>
  <c r="G221" i="2" s="1"/>
  <c r="E301" i="2"/>
  <c r="G301" i="2" s="1"/>
  <c r="E310" i="2"/>
  <c r="G310" i="2" s="1"/>
  <c r="E382" i="2"/>
  <c r="G382" i="2" s="1"/>
  <c r="I382" i="2" s="1"/>
  <c r="E390" i="2"/>
  <c r="G390" i="2" s="1"/>
  <c r="I390" i="2" s="1"/>
  <c r="F35" i="2"/>
  <c r="H35" i="2" s="1"/>
  <c r="F93" i="2"/>
  <c r="H93" i="2" s="1"/>
  <c r="F159" i="2"/>
  <c r="H159" i="2" s="1"/>
  <c r="N498" i="1"/>
  <c r="M498" i="1"/>
  <c r="O498" i="1"/>
  <c r="E498" i="1"/>
  <c r="H498" i="1"/>
  <c r="D969" i="4" l="1"/>
  <c r="D940" i="40"/>
  <c r="H30" i="4"/>
  <c r="P20" i="39" s="1"/>
  <c r="D31" i="30"/>
  <c r="D32" i="30" s="1"/>
  <c r="D47" i="30" s="1"/>
  <c r="F48" i="30" s="1"/>
  <c r="B3" i="10"/>
  <c r="E8" i="37"/>
  <c r="E17" i="37" s="1"/>
  <c r="L8" i="39"/>
  <c r="L17" i="39" s="1"/>
  <c r="G92" i="4"/>
  <c r="E53" i="37"/>
  <c r="C18" i="30"/>
  <c r="C25" i="30" s="1"/>
  <c r="C26" i="30" s="1"/>
  <c r="B16" i="35"/>
  <c r="B16" i="21"/>
  <c r="D15" i="31" s="1"/>
  <c r="I389" i="2"/>
  <c r="F25" i="29"/>
  <c r="F21" i="29"/>
  <c r="F23" i="29" s="1"/>
  <c r="C25" i="29"/>
  <c r="C21" i="29"/>
  <c r="C23" i="29" s="1"/>
  <c r="I203" i="2"/>
  <c r="I71" i="2"/>
  <c r="I221" i="2"/>
  <c r="I375" i="2"/>
  <c r="I124" i="2"/>
  <c r="I19" i="2"/>
  <c r="I170" i="2"/>
  <c r="I23" i="2"/>
  <c r="I21" i="2"/>
  <c r="I112" i="2"/>
  <c r="I94" i="2"/>
  <c r="I110" i="2"/>
  <c r="I93" i="2"/>
  <c r="I69" i="2"/>
  <c r="I394" i="2"/>
  <c r="I103" i="2"/>
  <c r="I24" i="2"/>
  <c r="I140" i="2"/>
  <c r="I81" i="2"/>
  <c r="I368" i="2"/>
  <c r="I126" i="2"/>
  <c r="I29" i="2"/>
  <c r="I80" i="2"/>
  <c r="I379" i="2"/>
  <c r="I380" i="2"/>
  <c r="I75" i="2"/>
  <c r="I365" i="2"/>
  <c r="I392" i="2"/>
  <c r="I385" i="2"/>
  <c r="I281" i="2"/>
  <c r="I222" i="2"/>
  <c r="I318" i="2"/>
  <c r="G25" i="4"/>
  <c r="I302" i="2"/>
  <c r="I214" i="2"/>
  <c r="I197" i="2"/>
  <c r="I312" i="2"/>
  <c r="I193" i="2"/>
  <c r="I340" i="2"/>
  <c r="I289" i="2"/>
  <c r="I159" i="2"/>
  <c r="I16" i="2"/>
  <c r="I25" i="2"/>
  <c r="I38" i="2"/>
  <c r="I189" i="2"/>
  <c r="I264" i="2"/>
  <c r="I39" i="2"/>
  <c r="I20" i="2"/>
  <c r="I227" i="2"/>
  <c r="I143" i="2"/>
  <c r="I18" i="2"/>
  <c r="I148" i="2"/>
  <c r="I321" i="2"/>
  <c r="I234" i="2"/>
  <c r="I55" i="2"/>
  <c r="I240" i="2"/>
  <c r="I179" i="2"/>
  <c r="I316" i="2"/>
  <c r="I212" i="2"/>
  <c r="I187" i="2"/>
  <c r="I230" i="2"/>
  <c r="I328" i="2"/>
  <c r="I149" i="2"/>
  <c r="I298" i="2"/>
  <c r="I223" i="2"/>
  <c r="I98" i="2"/>
  <c r="I366" i="2"/>
  <c r="I44" i="2"/>
  <c r="I116" i="2"/>
  <c r="I48" i="2"/>
  <c r="I283" i="2"/>
  <c r="E20" i="13"/>
  <c r="D20" i="13" s="1"/>
  <c r="E23" i="13"/>
  <c r="D19" i="13"/>
  <c r="I151" i="2"/>
  <c r="I291" i="2"/>
  <c r="I252" i="2"/>
  <c r="I37" i="2"/>
  <c r="I344" i="2"/>
  <c r="I250" i="2"/>
  <c r="I163" i="2"/>
  <c r="I83" i="2"/>
  <c r="I286" i="2"/>
  <c r="I245" i="2"/>
  <c r="I327" i="2"/>
  <c r="I274" i="2"/>
  <c r="I204" i="2"/>
  <c r="I190" i="2"/>
  <c r="I73" i="2"/>
  <c r="I177" i="2"/>
  <c r="I47" i="2"/>
  <c r="I121" i="2"/>
  <c r="I102" i="2"/>
  <c r="I158" i="2"/>
  <c r="I304" i="2"/>
  <c r="I17" i="2"/>
  <c r="I26" i="2"/>
  <c r="I155" i="2"/>
  <c r="I131" i="2"/>
  <c r="I176" i="2"/>
  <c r="I217" i="2"/>
  <c r="I52" i="2"/>
  <c r="I396" i="2"/>
  <c r="I265" i="2"/>
  <c r="I173" i="2"/>
  <c r="I162" i="2"/>
  <c r="I257" i="2"/>
  <c r="I290" i="2"/>
  <c r="I260" i="2"/>
  <c r="I231" i="2"/>
  <c r="I171" i="2"/>
  <c r="I259" i="2"/>
  <c r="I97" i="2"/>
  <c r="I349" i="2"/>
  <c r="I309" i="2"/>
  <c r="I195" i="2"/>
  <c r="I67" i="2"/>
  <c r="I192" i="2"/>
  <c r="I115" i="2"/>
  <c r="I105" i="2"/>
  <c r="I398" i="2"/>
  <c r="I213" i="2"/>
  <c r="I325" i="2"/>
  <c r="I207" i="2"/>
  <c r="I164" i="2"/>
  <c r="I337" i="2"/>
  <c r="I184" i="2"/>
  <c r="I95" i="2"/>
  <c r="I61" i="2"/>
  <c r="I46" i="2"/>
  <c r="I270" i="2"/>
  <c r="I330" i="2"/>
  <c r="I387" i="2"/>
  <c r="I118" i="2"/>
  <c r="I211" i="2"/>
  <c r="I107" i="2"/>
  <c r="I43" i="2"/>
  <c r="I167" i="2"/>
  <c r="I347" i="2"/>
  <c r="I89" i="2"/>
  <c r="I181" i="2"/>
  <c r="I142" i="2"/>
  <c r="I322" i="2"/>
  <c r="I246" i="2"/>
  <c r="I90" i="2"/>
  <c r="I210" i="2"/>
  <c r="I271" i="2"/>
  <c r="I342" i="2"/>
  <c r="I62" i="2"/>
  <c r="I144" i="2"/>
  <c r="I64" i="2"/>
  <c r="I50" i="2"/>
  <c r="I198" i="2"/>
  <c r="I199" i="2"/>
  <c r="I42" i="2"/>
  <c r="I160" i="2"/>
  <c r="I306" i="2"/>
  <c r="I182" i="2"/>
  <c r="I299" i="2"/>
  <c r="I263" i="2"/>
  <c r="I272" i="2"/>
  <c r="I267" i="2"/>
  <c r="I154" i="2"/>
  <c r="I130" i="2"/>
  <c r="I326" i="2"/>
  <c r="I132" i="2"/>
  <c r="I314" i="2"/>
  <c r="I243" i="2"/>
  <c r="I191" i="2"/>
  <c r="I87" i="2"/>
  <c r="I242" i="2"/>
  <c r="I208" i="2"/>
  <c r="I315" i="2"/>
  <c r="I120" i="2"/>
  <c r="I202" i="2"/>
  <c r="I168" i="2"/>
  <c r="I65" i="2"/>
  <c r="I119" i="2"/>
  <c r="I346" i="2"/>
  <c r="I59" i="2"/>
  <c r="I51" i="2"/>
  <c r="I301" i="2"/>
  <c r="I255" i="2"/>
  <c r="I331" i="2"/>
  <c r="I372" i="2"/>
  <c r="I268" i="2"/>
  <c r="I106" i="2"/>
  <c r="I354" i="2"/>
  <c r="I334" i="2"/>
  <c r="I200" i="2"/>
  <c r="I254" i="2"/>
  <c r="I397" i="2"/>
  <c r="I384" i="2"/>
  <c r="I282" i="2"/>
  <c r="G80" i="18"/>
  <c r="B81" i="18" s="1"/>
  <c r="D81" i="18" s="1"/>
  <c r="I41" i="2"/>
  <c r="I296" i="2"/>
  <c r="I101" i="2"/>
  <c r="I146" i="2"/>
  <c r="I355" i="2"/>
  <c r="I57" i="2"/>
  <c r="I205" i="2"/>
  <c r="I284" i="2"/>
  <c r="I369" i="2"/>
  <c r="I339" i="2"/>
  <c r="I165" i="2"/>
  <c r="I137" i="2"/>
  <c r="I56" i="2"/>
  <c r="I85" i="2"/>
  <c r="I166" i="2"/>
  <c r="I109" i="2"/>
  <c r="I350" i="2"/>
  <c r="I40" i="2"/>
  <c r="I113" i="2"/>
  <c r="I150" i="2"/>
  <c r="I72" i="2"/>
  <c r="I32" i="2"/>
  <c r="I100" i="2"/>
  <c r="I152" i="2"/>
  <c r="I96" i="2"/>
  <c r="I343" i="2"/>
  <c r="I239" i="2"/>
  <c r="I156" i="2"/>
  <c r="I356" i="2"/>
  <c r="I138" i="2"/>
  <c r="I104" i="2"/>
  <c r="I279" i="2"/>
  <c r="I371" i="2"/>
  <c r="I139" i="2"/>
  <c r="I86" i="2"/>
  <c r="I297" i="2"/>
  <c r="I280" i="2"/>
  <c r="I45" i="2"/>
  <c r="I172" i="2"/>
  <c r="I33" i="2"/>
  <c r="I136" i="2"/>
  <c r="I76" i="2"/>
  <c r="I329" i="2"/>
  <c r="I58" i="2"/>
  <c r="I114" i="2"/>
  <c r="I153" i="2"/>
  <c r="I332" i="2"/>
  <c r="I311" i="2"/>
  <c r="I287" i="2"/>
  <c r="I79" i="2"/>
  <c r="I228" i="2"/>
  <c r="I145" i="2"/>
  <c r="I266" i="2"/>
  <c r="I36" i="2"/>
  <c r="I219" i="2"/>
  <c r="I395" i="2"/>
  <c r="I92" i="2"/>
  <c r="I353" i="2"/>
  <c r="I108" i="2"/>
  <c r="I232" i="2"/>
  <c r="I63" i="2"/>
  <c r="I49" i="2"/>
  <c r="I88" i="2"/>
  <c r="I305" i="2"/>
  <c r="I293" i="2"/>
  <c r="I285" i="2"/>
  <c r="I338" i="2"/>
  <c r="I127" i="2"/>
  <c r="I374" i="2"/>
  <c r="I386" i="2"/>
  <c r="I157" i="2"/>
  <c r="I261" i="2"/>
  <c r="I224" i="2"/>
  <c r="I28" i="2"/>
  <c r="I313" i="2"/>
  <c r="I251" i="2"/>
  <c r="I22" i="2"/>
  <c r="I292" i="2"/>
  <c r="I196" i="2"/>
  <c r="I99" i="2"/>
  <c r="I66" i="2"/>
  <c r="I295" i="2"/>
  <c r="I183" i="2"/>
  <c r="I169" i="2"/>
  <c r="I358" i="2"/>
  <c r="I345" i="2"/>
  <c r="I378" i="2"/>
  <c r="I319" i="2"/>
  <c r="I348" i="2"/>
  <c r="I249" i="2"/>
  <c r="I359" i="2"/>
  <c r="I362" i="2"/>
  <c r="I209" i="2"/>
  <c r="I300" i="2"/>
  <c r="I185" i="2"/>
  <c r="I276" i="2"/>
  <c r="I367" i="2"/>
  <c r="I117" i="2"/>
  <c r="I363" i="2"/>
  <c r="I68" i="2"/>
  <c r="I237" i="2"/>
  <c r="I216" i="2"/>
  <c r="I391" i="2"/>
  <c r="I188" i="2"/>
  <c r="I84" i="2"/>
  <c r="I244" i="2"/>
  <c r="I78" i="2"/>
  <c r="I225" i="2"/>
  <c r="I161" i="2"/>
  <c r="I128" i="2"/>
  <c r="I60" i="2"/>
  <c r="I310" i="2"/>
  <c r="I129" i="2"/>
  <c r="I320" i="2"/>
  <c r="I123" i="2"/>
  <c r="I323" i="2"/>
  <c r="I303" i="2"/>
  <c r="I381" i="2"/>
  <c r="I229" i="2"/>
  <c r="I175" i="2"/>
  <c r="I253" i="2"/>
  <c r="I215" i="2"/>
  <c r="G498" i="1"/>
  <c r="I256" i="2"/>
  <c r="I241" i="2"/>
  <c r="I77" i="2"/>
  <c r="I233" i="2"/>
  <c r="I141" i="2"/>
  <c r="I194" i="2"/>
  <c r="J498" i="1"/>
  <c r="I361" i="2"/>
  <c r="I357" i="2"/>
  <c r="I341" i="2"/>
  <c r="I393" i="2"/>
  <c r="I324" i="2"/>
  <c r="I288" i="2"/>
  <c r="I186" i="2"/>
  <c r="I53" i="2"/>
  <c r="I308" i="2"/>
  <c r="I27" i="2"/>
  <c r="I336" i="2"/>
  <c r="I294" i="2"/>
  <c r="I273" i="2"/>
  <c r="I335" i="2"/>
  <c r="I377" i="2"/>
  <c r="I226" i="2"/>
  <c r="I333" i="2"/>
  <c r="I133" i="2"/>
  <c r="I262" i="2"/>
  <c r="I218" i="2"/>
  <c r="I201" i="2"/>
  <c r="I376" i="2"/>
  <c r="I269" i="2"/>
  <c r="I258" i="2"/>
  <c r="I238" i="2"/>
  <c r="I54" i="2"/>
  <c r="I206" i="2"/>
  <c r="I180" i="2"/>
  <c r="I351" i="2"/>
  <c r="I317" i="2"/>
  <c r="I307" i="2"/>
  <c r="I275" i="2"/>
  <c r="I174" i="2"/>
  <c r="I278" i="2"/>
  <c r="I35" i="2"/>
  <c r="I147" i="2"/>
  <c r="I364" i="2"/>
  <c r="I236" i="2"/>
  <c r="I247" i="2"/>
  <c r="I248" i="2"/>
  <c r="I277" i="2"/>
  <c r="I220" i="2"/>
  <c r="I235" i="2"/>
  <c r="G12" i="2"/>
  <c r="P498" i="1"/>
  <c r="M15" i="22" l="1"/>
  <c r="I92" i="4"/>
  <c r="D1" i="30"/>
  <c r="I53" i="37"/>
  <c r="K52" i="37" s="1"/>
  <c r="P53" i="39"/>
  <c r="E27" i="39" s="1"/>
  <c r="I20" i="37"/>
  <c r="H45" i="4"/>
  <c r="M20" i="39" s="1"/>
  <c r="E9" i="39" s="1"/>
  <c r="B7" i="35"/>
  <c r="B13" i="35" s="1"/>
  <c r="B7" i="21"/>
  <c r="B13" i="21" s="1"/>
  <c r="G499" i="1"/>
  <c r="D23" i="13"/>
  <c r="E24" i="13"/>
  <c r="E81" i="18"/>
  <c r="G81" i="18" s="1"/>
  <c r="I12" i="2"/>
  <c r="G386" i="4"/>
  <c r="D971" i="4" l="1"/>
  <c r="D942" i="40"/>
  <c r="F20" i="37"/>
  <c r="K19" i="37" s="1"/>
  <c r="H1" i="4"/>
  <c r="D7" i="31"/>
  <c r="D13" i="31" s="1"/>
  <c r="E27" i="13"/>
  <c r="E33" i="13" s="1"/>
  <c r="C42" i="13" s="1"/>
  <c r="D24" i="13"/>
  <c r="G387" i="4"/>
  <c r="G34" i="4" s="1"/>
  <c r="B22" i="35" s="1"/>
  <c r="B29" i="35" s="1"/>
  <c r="B30" i="35" s="1"/>
  <c r="B32" i="35" s="1"/>
  <c r="B52" i="35" s="1"/>
  <c r="B56" i="35" s="1"/>
  <c r="AX56" i="35" s="1"/>
  <c r="G466" i="4"/>
  <c r="G43" i="4" s="1"/>
  <c r="O14" i="39" s="1"/>
  <c r="O17" i="39" s="1"/>
  <c r="D954" i="4" l="1"/>
  <c r="D925" i="40"/>
  <c r="D7" i="39"/>
  <c r="F7" i="39" s="1"/>
  <c r="O45" i="39"/>
  <c r="D23" i="39" s="1"/>
  <c r="F23" i="39" s="1"/>
  <c r="H14" i="37"/>
  <c r="H17" i="37" s="1"/>
  <c r="B22" i="21"/>
  <c r="D20" i="31" s="1"/>
  <c r="D26" i="31" s="1"/>
  <c r="D27" i="31" s="1"/>
  <c r="D29" i="31" s="1"/>
  <c r="D45" i="31" s="1"/>
  <c r="D47" i="31" s="1"/>
  <c r="C36" i="30"/>
  <c r="G44" i="4"/>
  <c r="C45" i="30"/>
  <c r="C46" i="30" s="1"/>
  <c r="B4" i="10" l="1"/>
  <c r="B5" i="10" s="1"/>
  <c r="I44" i="4"/>
  <c r="J7" i="37"/>
  <c r="C923" i="40" s="1"/>
  <c r="E923" i="40" s="1"/>
  <c r="H45" i="37"/>
  <c r="J44" i="37" s="1"/>
  <c r="C938" i="40" s="1"/>
  <c r="E938" i="40" s="1"/>
  <c r="B29" i="21"/>
  <c r="B30" i="21" s="1"/>
  <c r="B32" i="21" s="1"/>
  <c r="B52" i="21" s="1"/>
  <c r="B56" i="21" s="1"/>
  <c r="AX56" i="21" s="1"/>
  <c r="I13" i="15"/>
  <c r="I15" i="15" s="1"/>
  <c r="J15" i="15" s="1"/>
  <c r="J28" i="15" s="1"/>
  <c r="L44" i="37" l="1"/>
  <c r="C967" i="4"/>
  <c r="E967" i="4" s="1"/>
  <c r="L7" i="37"/>
  <c r="C952" i="4"/>
  <c r="E952" i="4" s="1"/>
  <c r="J29" i="15"/>
  <c r="I31" i="15"/>
  <c r="I34" i="15" s="1"/>
  <c r="J39" i="15" s="1"/>
  <c r="I38" i="15" s="1"/>
  <c r="C31" i="15"/>
  <c r="F29" i="15"/>
  <c r="G393" i="4"/>
  <c r="M27" i="22" l="1"/>
  <c r="M38" i="22" s="1"/>
  <c r="M42" i="22" l="1"/>
  <c r="M46" i="22" s="1"/>
  <c r="M49" i="22" s="1"/>
  <c r="M61" i="22" s="1"/>
  <c r="M63" i="22" s="1"/>
  <c r="M64" i="22" s="1"/>
  <c r="M65" i="22" s="1"/>
  <c r="M66" i="22" s="1"/>
  <c r="I23" i="23"/>
  <c r="I25" i="23" l="1"/>
  <c r="J24" i="23"/>
  <c r="G411" i="40" s="1"/>
  <c r="G413" i="40" s="1"/>
  <c r="G414" i="40" s="1"/>
  <c r="G416" i="40" s="1"/>
  <c r="G36" i="40" s="1"/>
  <c r="M72" i="22"/>
  <c r="M74" i="22" s="1"/>
  <c r="M76" i="22" s="1"/>
  <c r="O44" i="22" s="1"/>
  <c r="S55" i="22"/>
  <c r="J36" i="40" l="1"/>
  <c r="G37" i="40"/>
  <c r="G397" i="4"/>
  <c r="G399" i="4" s="1"/>
  <c r="G400" i="4" s="1"/>
  <c r="G402" i="4" s="1"/>
  <c r="G35" i="4" s="1"/>
  <c r="J25" i="23"/>
  <c r="J27" i="23" s="1"/>
  <c r="U55" i="22"/>
  <c r="W55" i="22" s="1"/>
  <c r="Y55" i="22" s="1"/>
  <c r="S56" i="22"/>
  <c r="J35" i="4" l="1"/>
  <c r="I31" i="23"/>
  <c r="I34" i="23" s="1"/>
  <c r="G102" i="40" s="1"/>
  <c r="C31" i="23"/>
  <c r="J29" i="23"/>
  <c r="F29" i="23"/>
  <c r="G36" i="4"/>
  <c r="C37" i="30"/>
  <c r="C38" i="30" s="1"/>
  <c r="S57" i="22"/>
  <c r="U56" i="22"/>
  <c r="W56" i="22" s="1"/>
  <c r="Y56" i="22" s="1"/>
  <c r="G103" i="40" l="1"/>
  <c r="G104" i="40" s="1"/>
  <c r="I102" i="40"/>
  <c r="G97" i="4"/>
  <c r="I97" i="4" s="1"/>
  <c r="J39" i="23"/>
  <c r="I38" i="23" s="1"/>
  <c r="S58" i="22"/>
  <c r="U58" i="22" s="1"/>
  <c r="W58" i="22" s="1"/>
  <c r="U57" i="22"/>
  <c r="W57" i="22" s="1"/>
  <c r="Y57" i="22" s="1"/>
  <c r="Y59" i="22" s="1"/>
  <c r="G581" i="40" l="1"/>
  <c r="G114" i="40"/>
  <c r="I114" i="40" s="1"/>
  <c r="G192" i="40"/>
  <c r="G194" i="40" s="1"/>
  <c r="G200" i="40" s="1"/>
  <c r="G201" i="40" s="1"/>
  <c r="G30" i="40" s="1"/>
  <c r="G98" i="4"/>
  <c r="G99" i="4" s="1"/>
  <c r="F30" i="29"/>
  <c r="J30" i="40" l="1"/>
  <c r="J46" i="40" s="1"/>
  <c r="G31" i="40"/>
  <c r="G46" i="40" s="1"/>
  <c r="G1" i="40" s="1"/>
  <c r="I2" i="40" s="1"/>
  <c r="G583" i="40"/>
  <c r="G116" i="40" s="1"/>
  <c r="G584" i="40"/>
  <c r="G117" i="40" s="1"/>
  <c r="L49" i="39"/>
  <c r="L28" i="39"/>
  <c r="L24" i="39"/>
  <c r="D12" i="39" s="1"/>
  <c r="F12" i="39" s="1"/>
  <c r="E28" i="37"/>
  <c r="E49" i="37"/>
  <c r="E24" i="37"/>
  <c r="J23" i="37" s="1"/>
  <c r="C928" i="40" s="1"/>
  <c r="E928" i="40" s="1"/>
  <c r="C30" i="29"/>
  <c r="C31" i="29" s="1"/>
  <c r="C32" i="29" s="1"/>
  <c r="F31" i="29"/>
  <c r="F32" i="29" s="1"/>
  <c r="G109" i="4"/>
  <c r="I109" i="4" s="1"/>
  <c r="C37" i="13"/>
  <c r="D39" i="13" s="1"/>
  <c r="D40" i="13" s="1"/>
  <c r="K15" i="22"/>
  <c r="G567" i="4"/>
  <c r="G182" i="4"/>
  <c r="G184" i="4" s="1"/>
  <c r="G190" i="4" s="1"/>
  <c r="L23" i="37" l="1"/>
  <c r="C957" i="4"/>
  <c r="E957" i="4" s="1"/>
  <c r="L56" i="39"/>
  <c r="D25" i="39"/>
  <c r="F25" i="39" s="1"/>
  <c r="E56" i="37"/>
  <c r="J48" i="37"/>
  <c r="C940" i="40" s="1"/>
  <c r="E940" i="40" s="1"/>
  <c r="G569" i="4"/>
  <c r="G111" i="4" s="1"/>
  <c r="G570" i="4"/>
  <c r="G112" i="4" s="1"/>
  <c r="F38" i="29"/>
  <c r="F42" i="29"/>
  <c r="F43" i="29"/>
  <c r="C7" i="25"/>
  <c r="C9" i="25" s="1"/>
  <c r="C14" i="25" s="1"/>
  <c r="G191" i="4"/>
  <c r="G29" i="4" s="1"/>
  <c r="K27" i="22"/>
  <c r="K38" i="22" s="1"/>
  <c r="K42" i="22" s="1"/>
  <c r="K46" i="22" s="1"/>
  <c r="K49" i="22" s="1"/>
  <c r="J111" i="22" s="1"/>
  <c r="K55" i="22"/>
  <c r="K57" i="22" s="1"/>
  <c r="C38" i="29"/>
  <c r="C43" i="29"/>
  <c r="C42" i="29"/>
  <c r="L48" i="37" l="1"/>
  <c r="C969" i="4"/>
  <c r="E969" i="4" s="1"/>
  <c r="J29" i="4"/>
  <c r="J45" i="4" s="1"/>
  <c r="J112" i="22"/>
  <c r="J113" i="22" s="1"/>
  <c r="J114" i="22" s="1"/>
  <c r="G30" i="4"/>
  <c r="C31" i="30"/>
  <c r="C32" i="30" s="1"/>
  <c r="C47" i="30" s="1"/>
  <c r="K59" i="22"/>
  <c r="K63" i="22"/>
  <c r="O20" i="39" l="1"/>
  <c r="O53" i="39"/>
  <c r="D27" i="39" s="1"/>
  <c r="F27" i="39" s="1"/>
  <c r="O28" i="39"/>
  <c r="D15" i="39" s="1"/>
  <c r="F15" i="39" s="1"/>
  <c r="H53" i="37"/>
  <c r="J52" i="37" s="1"/>
  <c r="C942" i="40" s="1"/>
  <c r="E942" i="40" s="1"/>
  <c r="H20" i="37"/>
  <c r="H28" i="37"/>
  <c r="J27" i="37" s="1"/>
  <c r="C930" i="40" s="1"/>
  <c r="E930" i="40" s="1"/>
  <c r="C1" i="30"/>
  <c r="E48" i="30"/>
  <c r="B7" i="10"/>
  <c r="B9" i="10" s="1"/>
  <c r="B24" i="10" s="1"/>
  <c r="G45" i="4"/>
  <c r="L20" i="39" s="1"/>
  <c r="K61" i="22"/>
  <c r="K111" i="22"/>
  <c r="D9" i="39" l="1"/>
  <c r="F9" i="39" s="1"/>
  <c r="L52" i="37"/>
  <c r="C971" i="4"/>
  <c r="E971" i="4" s="1"/>
  <c r="L27" i="37"/>
  <c r="C959" i="4"/>
  <c r="E959" i="4" s="1"/>
  <c r="G1" i="4"/>
  <c r="I2" i="4" s="1"/>
  <c r="E20" i="37"/>
  <c r="J19" i="37" s="1"/>
  <c r="C925" i="40" s="1"/>
  <c r="E925" i="40" s="1"/>
  <c r="K112" i="22"/>
  <c r="K113" i="22" s="1"/>
  <c r="K114" i="22" s="1"/>
  <c r="L114" i="22" s="1"/>
  <c r="K64" i="22"/>
  <c r="K65" i="22" s="1"/>
  <c r="K66" i="22" s="1"/>
  <c r="P62" i="22"/>
  <c r="L19" i="37" l="1"/>
  <c r="C954" i="4"/>
  <c r="E954" i="4" s="1"/>
  <c r="K72" i="22"/>
  <c r="K74" i="22" s="1"/>
  <c r="K76" i="22" s="1"/>
  <c r="S48" i="22"/>
  <c r="U48" i="22" l="1"/>
  <c r="W48" i="22" s="1"/>
  <c r="Y48" i="22" s="1"/>
  <c r="S49" i="22"/>
  <c r="U49" i="22" l="1"/>
  <c r="W49" i="22" s="1"/>
  <c r="Y49" i="22" s="1"/>
  <c r="S50" i="22"/>
  <c r="S51" i="22" l="1"/>
  <c r="U51" i="22" s="1"/>
  <c r="W51" i="22" s="1"/>
  <c r="Y51" i="22" s="1"/>
  <c r="U50" i="22"/>
  <c r="W50" i="22" s="1"/>
  <c r="Y50" i="22" s="1"/>
  <c r="Y52"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19" authorId="0" shapeId="0" xr:uid="{00000000-0006-0000-1B00-000001000000}">
      <text>
        <r>
          <rPr>
            <b/>
            <sz val="9"/>
            <color indexed="81"/>
            <rFont val="Tahoma"/>
            <family val="2"/>
          </rPr>
          <t>Administrator:</t>
        </r>
        <r>
          <rPr>
            <sz val="9"/>
            <color indexed="81"/>
            <rFont val="Tahoma"/>
            <family val="2"/>
          </rPr>
          <t xml:space="preserve">
Received 10% Additional on Dated 07/03/2022, Amount Rs. 9,43,000/-</t>
        </r>
      </text>
    </comment>
    <comment ref="I19" authorId="0" shapeId="0" xr:uid="{00000000-0006-0000-1B00-000002000000}">
      <text>
        <r>
          <rPr>
            <b/>
            <sz val="9"/>
            <color indexed="81"/>
            <rFont val="Tahoma"/>
            <family val="2"/>
          </rPr>
          <t>Administrator:</t>
        </r>
        <r>
          <rPr>
            <sz val="9"/>
            <color indexed="81"/>
            <rFont val="Tahoma"/>
            <family val="2"/>
          </rPr>
          <t xml:space="preserve">
Received 10% Additional on Dated 07/03/2022, Amount Rs. 9,43,000/-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F52" authorId="0" shapeId="0" xr:uid="{00000000-0006-0000-1E00-000001000000}">
      <text>
        <r>
          <rPr>
            <b/>
            <sz val="9"/>
            <color indexed="81"/>
            <rFont val="Tahoma"/>
            <family val="2"/>
          </rPr>
          <t>Kaustubh:</t>
        </r>
        <r>
          <rPr>
            <sz val="9"/>
            <color indexed="81"/>
            <rFont val="Tahoma"/>
            <family val="2"/>
          </rPr>
          <t xml:space="preserve">
No Sale made upto 05.05.23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 TIWARI</author>
  </authors>
  <commentList>
    <comment ref="J9" authorId="0" shapeId="0" xr:uid="{00000000-0006-0000-1F00-000001000000}">
      <text>
        <r>
          <rPr>
            <b/>
            <sz val="9"/>
            <color indexed="81"/>
            <rFont val="Tahoma"/>
            <family val="2"/>
          </rPr>
          <t>SANJAY TIWARI:</t>
        </r>
        <r>
          <rPr>
            <sz val="9"/>
            <color indexed="81"/>
            <rFont val="Tahoma"/>
            <family val="2"/>
          </rPr>
          <t xml:space="preserve">
Debit of Local Raw Material Minus from Purchase</t>
        </r>
      </text>
    </comment>
    <comment ref="J21" authorId="0" shapeId="0" xr:uid="{00000000-0006-0000-1F00-000002000000}">
      <text>
        <r>
          <rPr>
            <b/>
            <sz val="9"/>
            <color indexed="81"/>
            <rFont val="Tahoma"/>
            <family val="2"/>
          </rPr>
          <t>SANJAY TIWARI:</t>
        </r>
        <r>
          <rPr>
            <sz val="9"/>
            <color indexed="81"/>
            <rFont val="Tahoma"/>
            <family val="2"/>
          </rPr>
          <t xml:space="preserve">
Debit of Local Raw Material Minus from Purchase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K21" authorId="0" shapeId="0" xr:uid="{00000000-0006-0000-2000-000001000000}">
      <text>
        <r>
          <rPr>
            <b/>
            <sz val="9"/>
            <color indexed="81"/>
            <rFont val="Tahoma"/>
            <family val="2"/>
          </rPr>
          <t>Kaustubh:</t>
        </r>
        <r>
          <rPr>
            <sz val="9"/>
            <color indexed="81"/>
            <rFont val="Tahoma"/>
            <family val="2"/>
          </rPr>
          <t xml:space="preserve">
Deduction per month is Rs 3000 from salary. As such, it will take approx 22 months to recover the amount. Calculation is done accordingly.</t>
        </r>
      </text>
    </comment>
  </commentList>
</comments>
</file>

<file path=xl/sharedStrings.xml><?xml version="1.0" encoding="utf-8"?>
<sst xmlns="http://schemas.openxmlformats.org/spreadsheetml/2006/main" count="7706" uniqueCount="3159">
  <si>
    <t>PARTICULARS</t>
  </si>
  <si>
    <t>Note</t>
  </si>
  <si>
    <t>BS Main Head</t>
  </si>
  <si>
    <t>BS Sub Head</t>
  </si>
  <si>
    <t>Dr.</t>
  </si>
  <si>
    <t>Adj</t>
  </si>
  <si>
    <t>Dr. Final 21-22</t>
  </si>
  <si>
    <t>Cr.</t>
  </si>
  <si>
    <t>Cr. Final 21-22</t>
  </si>
  <si>
    <t>A K R G &amp; Associates, Nagpur</t>
  </si>
  <si>
    <t>Trade Payables</t>
  </si>
  <si>
    <t>Trade Payables - Others</t>
  </si>
  <si>
    <t>Uttej Polymers &amp; Chemicals</t>
  </si>
  <si>
    <t>MNS Credit Management Group Pvt Ltd</t>
  </si>
  <si>
    <t>SHUBHAM ENTERPRISES (SALE)</t>
  </si>
  <si>
    <t>Financial Assets</t>
  </si>
  <si>
    <t>Trade Receivables</t>
  </si>
  <si>
    <t>ANAMIKA TRADERS(SALES)</t>
  </si>
  <si>
    <t>Seion Enterprises</t>
  </si>
  <si>
    <t>Pratik Enterprises</t>
  </si>
  <si>
    <t>ANAMIKA TRADERS [ WP ]</t>
  </si>
  <si>
    <t>Maheshwari Agency</t>
  </si>
  <si>
    <t>Aayush Chem</t>
  </si>
  <si>
    <t>NAV DURGA BOILER &amp; EQUIPMENTS P. LTD.</t>
  </si>
  <si>
    <t>Other Non Current Assets</t>
  </si>
  <si>
    <t>Advance For Capital Goods</t>
  </si>
  <si>
    <t>CENTRAL SCIENTIFIC CO.</t>
  </si>
  <si>
    <t>Current Tax Assets</t>
  </si>
  <si>
    <t>Advance Income Tax</t>
  </si>
  <si>
    <t>Advertisement Expenses</t>
  </si>
  <si>
    <t>Other - Selling &amp; Distribution Expenses</t>
  </si>
  <si>
    <t>AJANTA KRAFT</t>
  </si>
  <si>
    <t>ACCURATE SALES AGENCIES</t>
  </si>
  <si>
    <t>ALIGN COMPONENTS (P) LTD., (BU-II)</t>
  </si>
  <si>
    <t>Other Current Assets</t>
  </si>
  <si>
    <t>Advance to Suppliers</t>
  </si>
  <si>
    <t>Advance Ag, Clearing-Frwd :OCC</t>
  </si>
  <si>
    <t>Other Financial Assets</t>
  </si>
  <si>
    <t>Loans and Advances to Employees</t>
  </si>
  <si>
    <t>Sudhakar Raut</t>
  </si>
  <si>
    <t>Nitin Thakre</t>
  </si>
  <si>
    <t>CANUSA HERSHMAN RECYCLING CO.</t>
  </si>
  <si>
    <t>Cellmark Netherlands B.V.</t>
  </si>
  <si>
    <t>Amruta Enterprises, Nagpur</t>
  </si>
  <si>
    <t>SAVITRI ENTERPRISES</t>
  </si>
  <si>
    <t>DR. B. P. TAORI</t>
  </si>
  <si>
    <t>Anilkumar M. Lakhotiya (Loan A/C)</t>
  </si>
  <si>
    <t>Long Term Borrowings</t>
  </si>
  <si>
    <t>Unsecured-From Related Party</t>
  </si>
  <si>
    <t>Anita Lakhotiya</t>
  </si>
  <si>
    <t>Festival Expenses</t>
  </si>
  <si>
    <t>Other - Establishment Expenses</t>
  </si>
  <si>
    <t>General Expenses</t>
  </si>
  <si>
    <t>Annual Custody Fees</t>
  </si>
  <si>
    <t>Annual Listing Fees</t>
  </si>
  <si>
    <t>Listing Expenses</t>
  </si>
  <si>
    <t>Prior Period Expenses</t>
  </si>
  <si>
    <t>Other Current Liabilities</t>
  </si>
  <si>
    <t>Trade Payables for capital goods</t>
  </si>
  <si>
    <t>Other Income</t>
  </si>
  <si>
    <t>Audit Expenses (Darak)</t>
  </si>
  <si>
    <t>Audit Expenses</t>
  </si>
  <si>
    <t>Audit Fees Payable</t>
  </si>
  <si>
    <t>Bad Debts</t>
  </si>
  <si>
    <t>Balaji Enterprises</t>
  </si>
  <si>
    <t>Baljit Kaur Manindersingh Saini</t>
  </si>
  <si>
    <t>Bank Commission &amp; Charges</t>
  </si>
  <si>
    <t>CSR (CORPORATE SOCIAL RESPONSIBILITY)</t>
  </si>
  <si>
    <t>CSR Expenses</t>
  </si>
  <si>
    <t>Bank Facility Charges</t>
  </si>
  <si>
    <t>BANK GUARANTEE CHARGES</t>
  </si>
  <si>
    <t>Finance Costs</t>
  </si>
  <si>
    <t>Other Borrowing Costs</t>
  </si>
  <si>
    <t>Bearing Centre</t>
  </si>
  <si>
    <t>ANANT SHREE AGENCY</t>
  </si>
  <si>
    <t>BHOLANATH MITRA</t>
  </si>
  <si>
    <t>Boiler Fireman  (Feeding Charges)</t>
  </si>
  <si>
    <t>Other - Manufacturing Expenses</t>
  </si>
  <si>
    <t>Factory Expenses</t>
  </si>
  <si>
    <t>Books News Paper &amp; Perodicals</t>
  </si>
  <si>
    <t>Office Expenses</t>
  </si>
  <si>
    <t>Building</t>
  </si>
  <si>
    <t>Property, Plant and Equipment</t>
  </si>
  <si>
    <t>Tangible Asset</t>
  </si>
  <si>
    <t>Capital Reserves</t>
  </si>
  <si>
    <t>Reserves &amp; Surplus</t>
  </si>
  <si>
    <t>Capital Reserve</t>
  </si>
  <si>
    <t>Rates &amp; Taxes</t>
  </si>
  <si>
    <t>Interest on TCS</t>
  </si>
  <si>
    <t>Carriage Inward : Machinery Rep&amp;Maint</t>
  </si>
  <si>
    <t>Repairs &amp; Maintainence - Machinery</t>
  </si>
  <si>
    <t>Carriage Inward { Store }</t>
  </si>
  <si>
    <t>Carriage Outward Machinery</t>
  </si>
  <si>
    <t>Cash</t>
  </si>
  <si>
    <t>Cash and cash Equivalents</t>
  </si>
  <si>
    <t>Cash On Hand</t>
  </si>
  <si>
    <t>GST</t>
  </si>
  <si>
    <t>CGST @ 6 % SALES</t>
  </si>
  <si>
    <t>SGST @  6% SALES</t>
  </si>
  <si>
    <t>CHANDRA COAL PVT. LTD. (SALE)</t>
  </si>
  <si>
    <t>CHANDRA SALES CORPORATION(SALE)</t>
  </si>
  <si>
    <t>Chemical Purchase</t>
  </si>
  <si>
    <t>Raw Material Consumed</t>
  </si>
  <si>
    <t>Raw Material Purchase</t>
  </si>
  <si>
    <t>Chowdhary Packagers</t>
  </si>
  <si>
    <t>CIPARO B.V.</t>
  </si>
  <si>
    <t>Clearing &amp; Forwarding on WP Import</t>
  </si>
  <si>
    <t>Power and Fuel</t>
  </si>
  <si>
    <t>Coal Purchase</t>
  </si>
  <si>
    <t>Computer</t>
  </si>
  <si>
    <t>Consultation Charges</t>
  </si>
  <si>
    <t>Legal and Professional Charges</t>
  </si>
  <si>
    <t>CONTAINER CORPORATION OF INDIA LTD</t>
  </si>
  <si>
    <t>Contribution to ESIC Payable</t>
  </si>
  <si>
    <t>Statutory Dues</t>
  </si>
  <si>
    <t>Contribution To P.F. Payable</t>
  </si>
  <si>
    <t>Conveyance Expenses</t>
  </si>
  <si>
    <t>Travelling and Conveyance Expense</t>
  </si>
  <si>
    <t>Conveyance To Directors</t>
  </si>
  <si>
    <t>COSMIC CORPORATION</t>
  </si>
  <si>
    <t>Courier &amp; Postage Charges</t>
  </si>
  <si>
    <t>Covid-19 Expenses (Corona)</t>
  </si>
  <si>
    <t>Balance with Government Authorities</t>
  </si>
  <si>
    <t>Deekay &amp; Company</t>
  </si>
  <si>
    <t>Deferred Tax Liabilities (Net)</t>
  </si>
  <si>
    <t xml:space="preserve">Deferred Tax Liabilities </t>
  </si>
  <si>
    <t>Deferred Tax Liability</t>
  </si>
  <si>
    <t>Deposit for  COAL to MSMC</t>
  </si>
  <si>
    <t>Deposit for LPG Domestic Cylender Connection</t>
  </si>
  <si>
    <t>Long Term Deposits</t>
  </si>
  <si>
    <t>Other Financial Assets - Non Current</t>
  </si>
  <si>
    <t>Balance with Bank in Deposit Accounts</t>
  </si>
  <si>
    <t>Deposit with SBI for Custom 8.25 Lac BG[Rs. 206250]</t>
  </si>
  <si>
    <t>Deposit with Import (OCC)</t>
  </si>
  <si>
    <t>Deposit with M.S.E.B.</t>
  </si>
  <si>
    <t>Deposit With SBI for MPCB 5 Lac BG [Rs.1,25,000]</t>
  </si>
  <si>
    <t>Deposits For Office Premises</t>
  </si>
  <si>
    <t>Deposits For Telephone</t>
  </si>
  <si>
    <t>Non Current - Provisions</t>
  </si>
  <si>
    <t>Provision for Employee Benefit</t>
  </si>
  <si>
    <t>Deposits Group Gratuity Fund (New Policy 707003372)</t>
  </si>
  <si>
    <t>Deposits Group Gratuity Fund (Policy No. 707000291)</t>
  </si>
  <si>
    <t>Depreciation Electrical Installation</t>
  </si>
  <si>
    <t>Depreciation &amp; Amortisation</t>
  </si>
  <si>
    <t>Depreciation</t>
  </si>
  <si>
    <t>Depreciation On Building</t>
  </si>
  <si>
    <t>Depreciation On Computer</t>
  </si>
  <si>
    <t>Depreciation on Furniture &amp; Fixture</t>
  </si>
  <si>
    <t>Depreciation on Office Equipment</t>
  </si>
  <si>
    <t>Depreciation On Plant &amp; Machinery</t>
  </si>
  <si>
    <t>Depreciation on Vehicle</t>
  </si>
  <si>
    <t>CHANDRASHEKHAR JAPULKAR</t>
  </si>
  <si>
    <t>Dhawal Dinesh Kawade</t>
  </si>
  <si>
    <t>DILIPKUMAR PATEL</t>
  </si>
  <si>
    <t>Directors Sitting Fees</t>
  </si>
  <si>
    <t>Employee Benefit Expenses</t>
  </si>
  <si>
    <t>Salary &amp; Wages</t>
  </si>
  <si>
    <t>Discount &amp; Billing Diff Account (HSN/SAC: 4804)</t>
  </si>
  <si>
    <t>Revenue From Operations</t>
  </si>
  <si>
    <t>Sale of Goods - Manufacturing Sales</t>
  </si>
  <si>
    <t>SALES A/C INTERASTATE</t>
  </si>
  <si>
    <t>DISTRIBUTION LOGISTICS INFRASTRUCTURE PVT.LTD.</t>
  </si>
  <si>
    <t>Donation Account</t>
  </si>
  <si>
    <t>Donation</t>
  </si>
  <si>
    <t>Drashta Power Consultants Pvt. Ltd.</t>
  </si>
  <si>
    <t>DURGA INDUSTRIAL  SECURITY, NAGPUR</t>
  </si>
  <si>
    <t>Durga Traders</t>
  </si>
  <si>
    <t>Electrical Installation</t>
  </si>
  <si>
    <t>Equity Share Capital</t>
  </si>
  <si>
    <t>Share Capital</t>
  </si>
  <si>
    <t>Issued, Subscribed &amp; Paid Up</t>
  </si>
  <si>
    <t>ESIC (Employees State Insurance Corpn)</t>
  </si>
  <si>
    <t>Contribution to Funds</t>
  </si>
  <si>
    <t>E-Voting Expenses</t>
  </si>
  <si>
    <t>Insurance Premium in Group Gratuity</t>
  </si>
  <si>
    <t>Exempted Ag.Chemical Purchase</t>
  </si>
  <si>
    <t>Export Expenses for Clearing &amp; Forwarding</t>
  </si>
  <si>
    <t>Clearing &amp; Forwarding Expenses</t>
  </si>
  <si>
    <t>EXPORT SALE</t>
  </si>
  <si>
    <t>Factory Cleaning Charges</t>
  </si>
  <si>
    <t>Factory Misc Expenses</t>
  </si>
  <si>
    <t>Factory Power &amp; Electricity Charges</t>
  </si>
  <si>
    <t>Factory Tea &amp; Other Expenses</t>
  </si>
  <si>
    <t>Fees To Registrar</t>
  </si>
  <si>
    <t>Finished Goods Expenses</t>
  </si>
  <si>
    <t>Finished Goods Packing &amp; Allied Charges</t>
  </si>
  <si>
    <t>Finished Goods Packing and Allied Charges</t>
  </si>
  <si>
    <t>Finished Goods Packing &amp; Allied Payable</t>
  </si>
  <si>
    <t>For BG[MSEB] 12.50 LAC :A/c 35633066338</t>
  </si>
  <si>
    <t>Foreign Exchange Fluctuation</t>
  </si>
  <si>
    <t>Foreign Exchange Fluctuation Gain on RM</t>
  </si>
  <si>
    <t>Franking Charges for Import O.C.C.</t>
  </si>
  <si>
    <t>Freehold Land</t>
  </si>
  <si>
    <t>Furniture &amp; Fixture</t>
  </si>
  <si>
    <t>Ganpat Steel Industries</t>
  </si>
  <si>
    <t>General Reserves</t>
  </si>
  <si>
    <t>General Reserve</t>
  </si>
  <si>
    <t>Globe Engineering Company</t>
  </si>
  <si>
    <t>Gratuity To Staff</t>
  </si>
  <si>
    <t>Green Agro Industries</t>
  </si>
  <si>
    <t>GST ANNUAL FEES F.Y. 2021-22</t>
  </si>
  <si>
    <t>Payable to GST Annual Fees F.Y.21-22</t>
  </si>
  <si>
    <t>GST E-Return Charges</t>
  </si>
  <si>
    <t>Gupta Machinery Stores, Nagpur</t>
  </si>
  <si>
    <t>Hazelkaur Manindersingh Saini</t>
  </si>
  <si>
    <t>Hemant Mahure</t>
  </si>
  <si>
    <t>Hindustan Mill Stores, Nagpur</t>
  </si>
  <si>
    <t>House Rent</t>
  </si>
  <si>
    <t>Rent Expense</t>
  </si>
  <si>
    <t>Import Waste Paper Purchase</t>
  </si>
  <si>
    <t>Incentive/ Bonus Payable</t>
  </si>
  <si>
    <t>Short Term Provisions</t>
  </si>
  <si>
    <t>Incentive/ Bonus to Staff</t>
  </si>
  <si>
    <t>Inder Trade &amp; Industry, Bikaner</t>
  </si>
  <si>
    <t>Insurance Charges For Marine</t>
  </si>
  <si>
    <t>Insurance on Sales</t>
  </si>
  <si>
    <t>Insurance Charges To Other</t>
  </si>
  <si>
    <t>Insurance Charges</t>
  </si>
  <si>
    <t>Insurance Claim Receivable( Accident Claim)</t>
  </si>
  <si>
    <t>Insurance claim Receivable</t>
  </si>
  <si>
    <t>Insurance Pre-Paid</t>
  </si>
  <si>
    <t>Prepaid Expenses</t>
  </si>
  <si>
    <t>Interest Receivable on Power</t>
  </si>
  <si>
    <t>Interest  From Bank (F.D.)</t>
  </si>
  <si>
    <t>Interest Received</t>
  </si>
  <si>
    <t>Interest Expenses</t>
  </si>
  <si>
    <t>Interest on Add.T/L (1.5Cr)...6669</t>
  </si>
  <si>
    <t>Interest on Bank Term Loan ( 2 Cr.)...0563</t>
  </si>
  <si>
    <t>Interest on CGST</t>
  </si>
  <si>
    <t>Interest On Custom Duty</t>
  </si>
  <si>
    <t>Interest On IGST</t>
  </si>
  <si>
    <t>Interest on Income Tax</t>
  </si>
  <si>
    <t>INTEREST ON PROFESSIONAL TAX</t>
  </si>
  <si>
    <t>Interest on SGST</t>
  </si>
  <si>
    <t>Interest On Tds</t>
  </si>
  <si>
    <t>Other Financial Liabilities - Current</t>
  </si>
  <si>
    <t>Interest To Bank</t>
  </si>
  <si>
    <t>Interest To Others</t>
  </si>
  <si>
    <t>Internal Audit Fees (Khandelwal)</t>
  </si>
  <si>
    <t>Internal Audit Fees</t>
  </si>
  <si>
    <t>J.S.M. Marketing, Nagpur</t>
  </si>
  <si>
    <t>SHREE ENTERPRISES [WP]</t>
  </si>
  <si>
    <t>JAI MAHALAXMI ENTERPRISES</t>
  </si>
  <si>
    <t>Supreme Elmech Pvt. Ltd.</t>
  </si>
  <si>
    <t>Jarnailsingh Saini (Loan A/c)</t>
  </si>
  <si>
    <t>Jenson Trading Corporation</t>
  </si>
  <si>
    <t>Jitendra Nikhare</t>
  </si>
  <si>
    <t>K.R.V. Express</t>
  </si>
  <si>
    <t>Kailash Kaur Jarnailsingh Saini</t>
  </si>
  <si>
    <t>KARAN ENTERPRISES (WP)</t>
  </si>
  <si>
    <t>KEDAR PAPER CONVERSIONS</t>
  </si>
  <si>
    <t>Kunal Jain</t>
  </si>
  <si>
    <t>L.I.C. Payable</t>
  </si>
  <si>
    <t>Labour Welfare Fund</t>
  </si>
  <si>
    <t>Lakhotiya Traders Pvt. Ltd. (Sale)</t>
  </si>
  <si>
    <t>Late Fee</t>
  </si>
  <si>
    <t>Leave Encashment</t>
  </si>
  <si>
    <t>Leave Encashment Payable</t>
  </si>
  <si>
    <t>Legal &amp; Proffessional  Charges</t>
  </si>
  <si>
    <t>Maa Tarini Traders</t>
  </si>
  <si>
    <t>Machinery Exp for Boiler Material BED</t>
  </si>
  <si>
    <t>Machinery Repair &amp; Maint Diesel Exp.</t>
  </si>
  <si>
    <t>Machinery Repair &amp; Maint To Electrical</t>
  </si>
  <si>
    <t>Machinery Repair &amp; Maintenance</t>
  </si>
  <si>
    <t>Maharashtra State Mining Corp. Ltd.</t>
  </si>
  <si>
    <t>Mahesh Mirashe</t>
  </si>
  <si>
    <t>Makharia Machineries Pvt. Ltd.</t>
  </si>
  <si>
    <t>Manish Computer</t>
  </si>
  <si>
    <t>Manoj Gore</t>
  </si>
  <si>
    <t>Medical Aids To Staff</t>
  </si>
  <si>
    <t>Staff Welfare Expenses</t>
  </si>
  <si>
    <t>Membership &amp; Subscription</t>
  </si>
  <si>
    <t>Mohd. Anish Abdul Aziz</t>
  </si>
  <si>
    <t>Narayan Auto Part Service</t>
  </si>
  <si>
    <t>Nilkanth Nikhare</t>
  </si>
  <si>
    <t>Office Cleaning Charges</t>
  </si>
  <si>
    <t>Office Electricity Charges</t>
  </si>
  <si>
    <t>Office Equipment</t>
  </si>
  <si>
    <t>Office Misc. Expenses</t>
  </si>
  <si>
    <t>Office Rent</t>
  </si>
  <si>
    <t>Office Tea &amp; Other Exp.</t>
  </si>
  <si>
    <t>OM SAI ENGINEERING</t>
  </si>
  <si>
    <t>Opening Stock</t>
  </si>
  <si>
    <t>opening stock</t>
  </si>
  <si>
    <t>ORIGAMI CELLULO PVT.LTD.</t>
  </si>
  <si>
    <t>Other Charges : Chemical</t>
  </si>
  <si>
    <t>Other Charges : Chemical (NON-GST)</t>
  </si>
  <si>
    <t>Other Charges : Coal</t>
  </si>
  <si>
    <t>Packing Material Purchase</t>
  </si>
  <si>
    <t>Other Charges : Packing Material</t>
  </si>
  <si>
    <t>Repairs &amp; Maintainence - Others</t>
  </si>
  <si>
    <t>Other Import OCC Expenses</t>
  </si>
  <si>
    <t>PACKING CHARGES</t>
  </si>
  <si>
    <t>PACKSAFE</t>
  </si>
  <si>
    <t>PANCHSHEEL TRADING CORPN., NAGPUR</t>
  </si>
  <si>
    <t>Payable to Boiler Fireman Charges</t>
  </si>
  <si>
    <t>Payable To Raw Material Sorting</t>
  </si>
  <si>
    <t>Payable Waste Paper Feeding Charges</t>
  </si>
  <si>
    <t>PENALTY ON CGST</t>
  </si>
  <si>
    <t>Penalty on Custom Duty</t>
  </si>
  <si>
    <t>PENALTY ON SGST</t>
  </si>
  <si>
    <t>Penalty to Compliance (MSEI)</t>
  </si>
  <si>
    <t>Plant &amp; Machinery</t>
  </si>
  <si>
    <t>Pooja Expenses</t>
  </si>
  <si>
    <t>Power &amp; Electricity Payable</t>
  </si>
  <si>
    <t>PRANSHU PAPER PVT. LTD.</t>
  </si>
  <si>
    <t>Pre-Paid Renewal &amp; Registration</t>
  </si>
  <si>
    <t>Interest Receivable</t>
  </si>
  <si>
    <t>Professional Fees</t>
  </si>
  <si>
    <t>Professional Tax</t>
  </si>
  <si>
    <t>Profit &amp; Loss A/C</t>
  </si>
  <si>
    <t>Surplus</t>
  </si>
  <si>
    <t>Other Comprehensive Income</t>
  </si>
  <si>
    <t>Profit on Sales Tax Under P.S.I.Scheme</t>
  </si>
  <si>
    <t>PSI Subsidy</t>
  </si>
  <si>
    <t>Provident Fund Contribution Exp.</t>
  </si>
  <si>
    <t>Provision for Acturial Gratuity</t>
  </si>
  <si>
    <t>Provision for Depreciation Building</t>
  </si>
  <si>
    <t>Tangible Asset - PFD</t>
  </si>
  <si>
    <t>Provision For Depreciation Computer</t>
  </si>
  <si>
    <t>Provision For Depreciation Electrical Installation</t>
  </si>
  <si>
    <t>Provision for Depreciation Factory Building</t>
  </si>
  <si>
    <t>Provision For Depreciation Furniture &amp; Fixture</t>
  </si>
  <si>
    <t>Provision For Depreciation Office Equipment</t>
  </si>
  <si>
    <t>Provision For Depreciation Plant &amp; Machinery</t>
  </si>
  <si>
    <t>Provision For Depreciation Vehicle</t>
  </si>
  <si>
    <t>Provision for I.T, A.Y.2017-18</t>
  </si>
  <si>
    <t>Advance Income Tax (A.Y.2022-23)</t>
  </si>
  <si>
    <t>Income Tax Receivable (Refund)</t>
  </si>
  <si>
    <t>Provision For I.T. A.Y, 2005-06</t>
  </si>
  <si>
    <t>Income Tax Refunf A.Y. 2020-21</t>
  </si>
  <si>
    <t>Provision for I.T. A.Y, 2013-14</t>
  </si>
  <si>
    <t>Provision for I.T. A.Y. 2008-09</t>
  </si>
  <si>
    <t>Provisions For Gratuity Payable</t>
  </si>
  <si>
    <t>PSI Under Sales Tax Deferal Receivable</t>
  </si>
  <si>
    <t>Punjab Machine Tools</t>
  </si>
  <si>
    <t>Purchase Expenses : Chemical</t>
  </si>
  <si>
    <t>Purchase Expenses : Coal</t>
  </si>
  <si>
    <t>Purchase Expenses : Packing Material</t>
  </si>
  <si>
    <t>Purchase Import in Transit</t>
  </si>
  <si>
    <t>Purchase Of Store</t>
  </si>
  <si>
    <t>Stores &amp; Spares Consumed</t>
  </si>
  <si>
    <t>Agrawal Sales Corporation</t>
  </si>
  <si>
    <t>R.C.CORRUPACK PVT. LTD.</t>
  </si>
  <si>
    <t>R.S. Kraft Papers Ltd</t>
  </si>
  <si>
    <t>Raghav Enterprises</t>
  </si>
  <si>
    <t>Rajesh Gas Agencies</t>
  </si>
  <si>
    <t>Raw Material Sorting Charges</t>
  </si>
  <si>
    <t>RCM CGST PAYABLE</t>
  </si>
  <si>
    <t>RCM IGST PAYABLE</t>
  </si>
  <si>
    <t>RCM SGST PAYABLE</t>
  </si>
  <si>
    <t>CGST @ 9% on OCC Expenses</t>
  </si>
  <si>
    <t>SGST @ 9% on OCC Expenses</t>
  </si>
  <si>
    <t>Remuneration To Directors</t>
  </si>
  <si>
    <t>Renewal &amp; Registration Expenses</t>
  </si>
  <si>
    <t>Repair &amp; Maint. To Building</t>
  </si>
  <si>
    <t>Repairs &amp; Maintainence - Building</t>
  </si>
  <si>
    <t>Repair &amp; Maintenance to Other Assets</t>
  </si>
  <si>
    <t>Revaluation Reserve</t>
  </si>
  <si>
    <t>ROC Filing Charges</t>
  </si>
  <si>
    <t>ROUNAK STEEL</t>
  </si>
  <si>
    <t>Round Offf</t>
  </si>
  <si>
    <t>S.B.I. Indl.Fin.Br. Trustee HPML Empl.G.G.Scheme</t>
  </si>
  <si>
    <t>Balance With Bank - Current A/c</t>
  </si>
  <si>
    <t>Secured - From Banks - Term Loan</t>
  </si>
  <si>
    <t>Sachin Dehankar</t>
  </si>
  <si>
    <t>Safety Packagers (P) Ltd.</t>
  </si>
  <si>
    <t>Saini Transport Co.</t>
  </si>
  <si>
    <t>Salary Payable</t>
  </si>
  <si>
    <t>Employee Payables</t>
  </si>
  <si>
    <t>Salary to Company Secretary</t>
  </si>
  <si>
    <t>Salary To Factory Adm. Staff</t>
  </si>
  <si>
    <t>Salary To Office Staff</t>
  </si>
  <si>
    <t>Salary To Other Factory Staff</t>
  </si>
  <si>
    <t>Sale Transit Insurance @0.30%</t>
  </si>
  <si>
    <t>SALES A/C GST</t>
  </si>
  <si>
    <t>Sanjamkaur Saini</t>
  </si>
  <si>
    <t>Sartaj Manindersingh Saini</t>
  </si>
  <si>
    <t>Securities Premium (351165@25)</t>
  </si>
  <si>
    <t>Securities Premium</t>
  </si>
  <si>
    <t>Security Service Charges</t>
  </si>
  <si>
    <t>SEZ SALE (SPECIAL ECONOMIC ZONE)</t>
  </si>
  <si>
    <t>Shankar Traders (Sale)</t>
  </si>
  <si>
    <t>SHREE FLEX PRINT PVT.LTD.</t>
  </si>
  <si>
    <t>SHREE INDUSTRIES</t>
  </si>
  <si>
    <t>Shri Balaji Tradelink</t>
  </si>
  <si>
    <t>SHUBHAM ENTERPRISES</t>
  </si>
  <si>
    <t>Site Development Expenses (Gardening)</t>
  </si>
  <si>
    <t>SIZE REBATE</t>
  </si>
  <si>
    <t>Snehlata A. Lakhotiya</t>
  </si>
  <si>
    <t>Staff Profession Tax Payable</t>
  </si>
  <si>
    <t>State Bank Of India C.C.,Sme Br.</t>
  </si>
  <si>
    <t>Short Term Borrowings</t>
  </si>
  <si>
    <t>Secured - From Banks - Working Capital Loan</t>
  </si>
  <si>
    <t>State Compensation on Cess</t>
  </si>
  <si>
    <t>Stationery &amp; Printing Charges</t>
  </si>
  <si>
    <t>Printing &amp; Stationery</t>
  </si>
  <si>
    <t>Statutory Audit Fees (Darak &amp; Asso)</t>
  </si>
  <si>
    <t>Statutory Audit Fees</t>
  </si>
  <si>
    <t>Stock Audit Bank Charges</t>
  </si>
  <si>
    <t>Sumed Borkar</t>
  </si>
  <si>
    <t>Summit Agencies</t>
  </si>
  <si>
    <t>Sundry Balance W/Off</t>
  </si>
  <si>
    <t>Sunil Nate</t>
  </si>
  <si>
    <t>Suryakant Sadawarti</t>
  </si>
  <si>
    <t>Tanisha Resins P. Ltd., Nagpur</t>
  </si>
  <si>
    <t>Tds  Payable On  Professional</t>
  </si>
  <si>
    <t>TCS Payable ON SALES ( 6 CR)</t>
  </si>
  <si>
    <t>Tds Payable  On Office Rent</t>
  </si>
  <si>
    <t>TDS Payable Dealers Commission</t>
  </si>
  <si>
    <t>Tds Payable On Contractors</t>
  </si>
  <si>
    <t>Tds Payable On Interest</t>
  </si>
  <si>
    <t>Tds Payable On Salary</t>
  </si>
  <si>
    <t>TDS Payable on Transporter</t>
  </si>
  <si>
    <t>TDSPAYABLE ON REMUNERATION</t>
  </si>
  <si>
    <t>Telephone Charges</t>
  </si>
  <si>
    <t>Telephone Expenses</t>
  </si>
  <si>
    <t>Telephone Charges Payable</t>
  </si>
  <si>
    <t>Testing &amp; Inspection Fees</t>
  </si>
  <si>
    <t>Trade Discount</t>
  </si>
  <si>
    <t>Travelling Expenses</t>
  </si>
  <si>
    <t>Unipack</t>
  </si>
  <si>
    <t>UNIPACK (SALE)</t>
  </si>
  <si>
    <t>Urd Purchase  On Waste Paper</t>
  </si>
  <si>
    <t>Ari Armaturen Steamline LLP,Pune</t>
  </si>
  <si>
    <t>ARYAN PACKAGING INDUSTRIES</t>
  </si>
  <si>
    <t>Balaji Medical Stores</t>
  </si>
  <si>
    <t>CARRIAGE OUTWARD (SALE)</t>
  </si>
  <si>
    <t>Freight on Sales</t>
  </si>
  <si>
    <t>CGST PAYABLE (F.Y. 2021-22)</t>
  </si>
  <si>
    <t>Chaitanya Constructions</t>
  </si>
  <si>
    <t>Choudhary Trading Company</t>
  </si>
  <si>
    <t>Commission on Sales</t>
  </si>
  <si>
    <t>Conquest Enterprises</t>
  </si>
  <si>
    <t>CSR F.Y. 2019-20</t>
  </si>
  <si>
    <t>CUSTOM DUTY A/C.</t>
  </si>
  <si>
    <t>Discount &amp; Billing Diff. On Sales</t>
  </si>
  <si>
    <t>DP Papertech, Pune</t>
  </si>
  <si>
    <t>Earlier Tax Paid</t>
  </si>
  <si>
    <t>ELE+MECH ENGINEERING SOLUTIONS</t>
  </si>
  <si>
    <t>For Addl.FD[MSEB] 2.5Lac: A/c 40198297304</t>
  </si>
  <si>
    <t>FREIGHT CHARGES</t>
  </si>
  <si>
    <t>Gaurav Lakhotiya (Loan A/c)</t>
  </si>
  <si>
    <t>Global Technologies</t>
  </si>
  <si>
    <t>Highrise Transformer</t>
  </si>
  <si>
    <t>I G S T PAYABLE ( F. Y. 2021-22 )</t>
  </si>
  <si>
    <t>I G S T RECEIVABLE ( F.Y. 2021-22 )</t>
  </si>
  <si>
    <t>I-Kcal Systems Engineering LLP</t>
  </si>
  <si>
    <t>Incentive/ Bonus to Contractor</t>
  </si>
  <si>
    <t>Indian Machinery Store</t>
  </si>
  <si>
    <t>Indian Traders</t>
  </si>
  <si>
    <t>Insurance Claim Receivable</t>
  </si>
  <si>
    <t>Interest On Local Body Tax</t>
  </si>
  <si>
    <t>Interest to Bank on T/L ( 73 Lakhs)....9457</t>
  </si>
  <si>
    <t>LAKHOTIYA TRADERS [WP]</t>
  </si>
  <si>
    <t>NARESH CHARDE</t>
  </si>
  <si>
    <t>OSWAL UDHYOG</t>
  </si>
  <si>
    <t>Paharpur Cooling Towers Limited</t>
  </si>
  <si>
    <t>Polypick Engineers Pvt. Ltd., Indore</t>
  </si>
  <si>
    <t>Prakash Kupale</t>
  </si>
  <si>
    <t>Pre-Operative Expenses on Elect Installation</t>
  </si>
  <si>
    <t>Capital WIP</t>
  </si>
  <si>
    <t>Pre-Operative Exp. on Machinery</t>
  </si>
  <si>
    <t>Pre-Operative (Intt &amp; Other ) Expenses</t>
  </si>
  <si>
    <t>Pre-Operative Travelling Expenses</t>
  </si>
  <si>
    <t>PURCHASE  OF HUSK</t>
  </si>
  <si>
    <t>Rishi Kumar Yadav</t>
  </si>
  <si>
    <t>RoDTEP (Export Incentive Scheme) Claim Receivable</t>
  </si>
  <si>
    <t>Import Claim Receivable</t>
  </si>
  <si>
    <t>R.S.KRAFT PAPERS PVT LTD</t>
  </si>
  <si>
    <t>Satish Kalbande</t>
  </si>
  <si>
    <t>S.B.I. ( COVID) A/C. 40590939457 (GECL30%) 73 Lakh</t>
  </si>
  <si>
    <t>S. B I. TERM LOAN  ( 7.75 Cr) A/c 40667225452</t>
  </si>
  <si>
    <t>Seema Enterprises [WP]</t>
  </si>
  <si>
    <t>SGST PAYABLE (F.Y.2021-22)</t>
  </si>
  <si>
    <t>SHRINIWAS ENTERPRISES</t>
  </si>
  <si>
    <t>SHRI RAM PACKERS</t>
  </si>
  <si>
    <t>S S Controls</t>
  </si>
  <si>
    <t>Stamp Paper &amp; Notary Charges</t>
  </si>
  <si>
    <t>Subhash Shirsagar</t>
  </si>
  <si>
    <t>Sunil Nagose</t>
  </si>
  <si>
    <t>T C S F. Y. 2021-22</t>
  </si>
  <si>
    <t>TDS ( A.Y. 2022-23)</t>
  </si>
  <si>
    <t>TDS Payable on Purchase (194Q)</t>
  </si>
  <si>
    <t>Tds Receivable F.Y. 2021-22</t>
  </si>
  <si>
    <t>VIJAY TRADERS WP</t>
  </si>
  <si>
    <t>Vimta Labs Limited</t>
  </si>
  <si>
    <t>W-I-P ELECTRICAL INSTALLATION</t>
  </si>
  <si>
    <t>W - I - P Power Plant</t>
  </si>
  <si>
    <t>Urd Purchase On Packing Material</t>
  </si>
  <si>
    <t>Uttam Shetty &amp; Co</t>
  </si>
  <si>
    <t>Vaibhav Enterprises</t>
  </si>
  <si>
    <t>Dashmesh Dhaba (Kondhali Restaurnt)</t>
  </si>
  <si>
    <t>Girish Murarka &amp; Co., Mumbai</t>
  </si>
  <si>
    <t>Interest on GECLBank T/L (1.46 Cr).....1281</t>
  </si>
  <si>
    <t>Jai Hanuman Industries, Nagpur</t>
  </si>
  <si>
    <t>JAYSHREE INDUSTRIES</t>
  </si>
  <si>
    <t>Lathia Rubber Mfg Co Pvt Ltd [Unit : Vapi]</t>
  </si>
  <si>
    <t>NAGPUR AUTO SERVICES</t>
  </si>
  <si>
    <t>S.A. ENTERPRISES</t>
  </si>
  <si>
    <t>S.B.I. ( GECL)  Term Loan A/c 39366011281(1.46 Cr)</t>
  </si>
  <si>
    <t>Vehicle</t>
  </si>
  <si>
    <t>Vehicle Diesel Expenses</t>
  </si>
  <si>
    <t>Repairs &amp; Maintainence - Vehicle</t>
  </si>
  <si>
    <t>Vehicle Repair &amp; Maintenance</t>
  </si>
  <si>
    <t>Vidhanis Tradelink Pvt. Ltd.</t>
  </si>
  <si>
    <t>Voith Paper Fabrics India Ltd.</t>
  </si>
  <si>
    <t>Walter &amp; Associates, Mumbai</t>
  </si>
  <si>
    <t>Waste Desposable Expenses(Plastic Dispose)</t>
  </si>
  <si>
    <t>Waste Paper Feeding  Charges</t>
  </si>
  <si>
    <t>Waste Paper Feeding Charges</t>
  </si>
  <si>
    <t>Waste Paper Purchase</t>
  </si>
  <si>
    <t>Western Coal Fields Ltd.</t>
  </si>
  <si>
    <t>W-I-P Building</t>
  </si>
  <si>
    <t>W-I-P Plant &amp; Machinery</t>
  </si>
  <si>
    <t>Xerox Charges</t>
  </si>
  <si>
    <t>YASH COMMERCIALS</t>
  </si>
  <si>
    <t>Kessels Engineering Works Pvt. Ltd.</t>
  </si>
  <si>
    <t>AAR Tech Engineering</t>
  </si>
  <si>
    <t>FY 2021-22</t>
  </si>
  <si>
    <t>FY 2022-23</t>
  </si>
  <si>
    <t>Dr. Final 22-23</t>
  </si>
  <si>
    <t>Cr. Final 22-23</t>
  </si>
  <si>
    <t>Hardoli Paper Mills Ltd.</t>
  </si>
  <si>
    <t>1st Floor Krishna Kunj</t>
  </si>
  <si>
    <t>Bhavsar Chowk C A Road</t>
  </si>
  <si>
    <t>Nagpur</t>
  </si>
  <si>
    <t>CIN: L21010MH1995PLCO85883</t>
  </si>
  <si>
    <t>Trial Balance</t>
  </si>
  <si>
    <t>1-Apr-22 to 31-Mar-23</t>
  </si>
  <si>
    <t/>
  </si>
  <si>
    <t>Hardoli Paper Mills Ltd. - (22-23)</t>
  </si>
  <si>
    <t>Particulars</t>
  </si>
  <si>
    <t>Closing Balance</t>
  </si>
  <si>
    <t>Debit</t>
  </si>
  <si>
    <t>Credit</t>
  </si>
  <si>
    <t>Advance Custom Duty</t>
  </si>
  <si>
    <t>AMASHA LTD</t>
  </si>
  <si>
    <t>AnilKumar M. Lakhotiya (Loan A/c)</t>
  </si>
  <si>
    <t>ANISH TRADERS</t>
  </si>
  <si>
    <t>ASJ Consultancy Pvt. Ltd.</t>
  </si>
  <si>
    <t>AVADHOOT PACKAGING SOLUTIONS PVT LTD.</t>
  </si>
  <si>
    <t>AVADHOOT PACKAGING SOLUTIONS PVT LTD[ WP]</t>
  </si>
  <si>
    <t>Blue International Trading LLC</t>
  </si>
  <si>
    <t>BOOKS NEWS PAPER &amp; PERODICALS</t>
  </si>
  <si>
    <t>BUILDING</t>
  </si>
  <si>
    <t>Cancelled Sales Invoice</t>
  </si>
  <si>
    <t>CASH</t>
  </si>
  <si>
    <t>CGST PAYABLE (F.Y. 2022-23)</t>
  </si>
  <si>
    <t>CGST RECEIVABLE (F.Y. 2022-23)</t>
  </si>
  <si>
    <t>CHOWDHARY PACKAGERS</t>
  </si>
  <si>
    <t>Contribution to P.F. Payable</t>
  </si>
  <si>
    <t>CONVEYANCE EXPENSES</t>
  </si>
  <si>
    <t>CONVEYANCE TO DIRECTORS</t>
  </si>
  <si>
    <t>COURIER &amp; POSTAGE CHARGES</t>
  </si>
  <si>
    <t>Deposits for Office Premises</t>
  </si>
  <si>
    <t>Deposits for Telephone</t>
  </si>
  <si>
    <t>Deposit with SBI 9 Lac  [MSEB 36la] A/c 41131339460</t>
  </si>
  <si>
    <t>Depreciation on Building</t>
  </si>
  <si>
    <t>Depreciation on Computer</t>
  </si>
  <si>
    <t>Depreciation on Plant &amp; Machinery</t>
  </si>
  <si>
    <t>Eastern Bearings Pvt. Ltd.</t>
  </si>
  <si>
    <t>Eetamax Energy Solutions Pvt. Ltd.</t>
  </si>
  <si>
    <t>Fees to Registrar</t>
  </si>
  <si>
    <t>FINISHED GOODS PACKING &amp; ALLIED PAYABLE</t>
  </si>
  <si>
    <t>Freight on Other Expenses</t>
  </si>
  <si>
    <t>Garima Maheshwari</t>
  </si>
  <si>
    <t>Gratuity to Staff</t>
  </si>
  <si>
    <t>GST TAX Paid on Assesment</t>
  </si>
  <si>
    <t>HARIWANSH PACKAGING PRODUCT[WP]</t>
  </si>
  <si>
    <t>HEMANT MAHURE</t>
  </si>
  <si>
    <t>IGST PAYABLE (F.Y. 2022-23)</t>
  </si>
  <si>
    <t>IGST RECEIVABLE (F. Y. 2022-23)</t>
  </si>
  <si>
    <t>Income Tax Refund (A.Y. 2022-23)</t>
  </si>
  <si>
    <t>INSURANCE CHARGES FOR MARINE</t>
  </si>
  <si>
    <t>Insurance Charges to Other</t>
  </si>
  <si>
    <t>Interest on Staff Professional Tax</t>
  </si>
  <si>
    <t>Interest On TDS</t>
  </si>
  <si>
    <t>Interest to Bank</t>
  </si>
  <si>
    <t>Interest to Others</t>
  </si>
  <si>
    <t>Ishwar Nagose</t>
  </si>
  <si>
    <t>J.S.M. MARKETING, NAGPUR</t>
  </si>
  <si>
    <t>Kailashchandra P. Agrawal (Loan A/c)</t>
  </si>
  <si>
    <t>Machinery Repair &amp; Maint to Electrical</t>
  </si>
  <si>
    <t>Maroti Katlam</t>
  </si>
  <si>
    <t>MEDICAL AIDS TO STAFF</t>
  </si>
  <si>
    <t>Nagpur Techno Marketing P. Ltd.</t>
  </si>
  <si>
    <t>OFFICE CLEANING CHARGES</t>
  </si>
  <si>
    <t>OFFICE ELECTRICITY CHARGES</t>
  </si>
  <si>
    <t>OFFICE MISC. EXPENSES</t>
  </si>
  <si>
    <t>OFFICE RENT</t>
  </si>
  <si>
    <t>OFFICE TEA &amp; OTHER EXP.</t>
  </si>
  <si>
    <t>OMPRAKASH D. RATHI (Loan A/c)</t>
  </si>
  <si>
    <t>Parason Machinery (I) Pvt. Ltd.</t>
  </si>
  <si>
    <t>Payable to Legal &amp; Proff</t>
  </si>
  <si>
    <t>PAYABLE TO RAW MATERIAL SORTING</t>
  </si>
  <si>
    <t>P.M.Logistics</t>
  </si>
  <si>
    <t>POOJA EXPENSES</t>
  </si>
  <si>
    <t>Professional Tax Payable</t>
  </si>
  <si>
    <t>Profit &amp; Loss A/c</t>
  </si>
  <si>
    <t>PROVIDENT FUND CONTRIBUTION EXP.</t>
  </si>
  <si>
    <t>Provision for Depreciation Computer</t>
  </si>
  <si>
    <t>Provision for Depreciation Electrical Installation</t>
  </si>
  <si>
    <t>Provision for Depreciation Furniture &amp; Fixture</t>
  </si>
  <si>
    <t>Provision for Depreciation Office Equipment</t>
  </si>
  <si>
    <t>Provision for Depreciation Plant &amp; Machinery</t>
  </si>
  <si>
    <t>Provision for Depreciation Vehicle</t>
  </si>
  <si>
    <t>Provisions for Gratuity Payable</t>
  </si>
  <si>
    <t>PUNJAB MACHINE TOOLS</t>
  </si>
  <si>
    <t>Purchase Exp. : Husk</t>
  </si>
  <si>
    <t>Purchase of Store</t>
  </si>
  <si>
    <t>RAJESH GAS AGENCIES</t>
  </si>
  <si>
    <t>Raju Kukde</t>
  </si>
  <si>
    <t>Ramjan Transport</t>
  </si>
  <si>
    <t>RAMKRISHNA FIBERS PVT LTD</t>
  </si>
  <si>
    <t>REMONDIS TRADE &amp; SALES GMBH</t>
  </si>
  <si>
    <t>Remuneration to Directors</t>
  </si>
  <si>
    <t>REPAIR &amp; MAINT. TO BUILDING</t>
  </si>
  <si>
    <t>Riddhi Corporation, Surat</t>
  </si>
  <si>
    <t>Right Issue Share Expenses</t>
  </si>
  <si>
    <t>R.K. Engineering Services</t>
  </si>
  <si>
    <t>SAFETY PACKAGERS (P) LTD.</t>
  </si>
  <si>
    <t>Sai Baba Refrigeration</t>
  </si>
  <si>
    <t>Salary to Factory Adm. Staff</t>
  </si>
  <si>
    <t>Salary to Office Staff</t>
  </si>
  <si>
    <t>Salary to Other Factory Staff</t>
  </si>
  <si>
    <t>Sales Tax Assessment Expenses</t>
  </si>
  <si>
    <t>SALE TRANSIT INSURANCE @0.30%</t>
  </si>
  <si>
    <t>SARTAJ MANINDERSINGH SAINI</t>
  </si>
  <si>
    <t>S.B.I. Add.Term  Loan (1.40lac)A/c.No.41345851422</t>
  </si>
  <si>
    <t>SGST PAYABLE (F.Y. 2022-23)</t>
  </si>
  <si>
    <t>SGST RECEIVABLE (F.Y. 2022-23)</t>
  </si>
  <si>
    <t>S.R. CORE AND CONES</t>
  </si>
  <si>
    <t>STATE BANK OF INDIA C.C.,SME Br.</t>
  </si>
  <si>
    <t>STATIONERY &amp; PRINTING CHARGES</t>
  </si>
  <si>
    <t>SUMED BORKAR</t>
  </si>
  <si>
    <t>Summit Enterprise</t>
  </si>
  <si>
    <t>Sundry Balance W/off</t>
  </si>
  <si>
    <t>Suryoday Textile Factory</t>
  </si>
  <si>
    <t>Tcs (0.1%)</t>
  </si>
  <si>
    <t>T C S ( A.Y. 2023-24)</t>
  </si>
  <si>
    <t>TDS (A.Y. 2023-24)</t>
  </si>
  <si>
    <t>TDS on Purchase @ .1%</t>
  </si>
  <si>
    <t>TDS PAYABLE ON CONTRACTORS</t>
  </si>
  <si>
    <t>TDS PAYABLE ON INTEREST</t>
  </si>
  <si>
    <t>TDS PAYABLE  ON OFFICE RENT</t>
  </si>
  <si>
    <t>TDS  PAYABLE ON  PROFESSIONAL</t>
  </si>
  <si>
    <t>TDS Payable on Salary</t>
  </si>
  <si>
    <t>Tds Receivable F.Y. 2022-23</t>
  </si>
  <si>
    <t>TELEPHONE CHARGES</t>
  </si>
  <si>
    <t>TRADE DISCOUNT</t>
  </si>
  <si>
    <t>Turnkey Inc.</t>
  </si>
  <si>
    <t>Ultraaweather Engineering Services</t>
  </si>
  <si>
    <t>UNIPACK</t>
  </si>
  <si>
    <t>United  Pipe Traders</t>
  </si>
  <si>
    <t>URD Purchase on Packing Material</t>
  </si>
  <si>
    <t>URD Purchase  on Waste Paper</t>
  </si>
  <si>
    <t>VEHICLE DIESEL EXPENSES</t>
  </si>
  <si>
    <t>Virendra Prasad Yadav</t>
  </si>
  <si>
    <t>WAHEGURU ENTERPRISES</t>
  </si>
  <si>
    <t>Walter Advisors Pvt Ltd</t>
  </si>
  <si>
    <t>WALTER &amp; ASSOCIATES, MUMBAI</t>
  </si>
  <si>
    <t>W M RECYCLE AMERICA LLC</t>
  </si>
  <si>
    <t>WTE Infra Projects Pvt. Ltd.</t>
  </si>
  <si>
    <t>XEROX CHARGES</t>
  </si>
  <si>
    <t>Grand Total</t>
  </si>
  <si>
    <t>Dr</t>
  </si>
  <si>
    <t>Cr</t>
  </si>
  <si>
    <t>Diff Dr</t>
  </si>
  <si>
    <t>Diff Cr</t>
  </si>
  <si>
    <t>Total Diff</t>
  </si>
  <si>
    <t>Unsecured-From Others</t>
  </si>
  <si>
    <t>Profession Tax</t>
  </si>
  <si>
    <t>Row Labels</t>
  </si>
  <si>
    <t>(blank)</t>
  </si>
  <si>
    <t>Sum of Dr. Final 22-23</t>
  </si>
  <si>
    <t>Sum of Cr. Final 22-23</t>
  </si>
  <si>
    <t>Sum of Dr. Final 21-22</t>
  </si>
  <si>
    <t>Sum of Cr. Final 21-22</t>
  </si>
  <si>
    <t>Property, Plant and Equipment Total</t>
  </si>
  <si>
    <t>Other Financial Assets - Non Current Total</t>
  </si>
  <si>
    <t>Other Non Current Assets Total</t>
  </si>
  <si>
    <t>Financial Assets Total</t>
  </si>
  <si>
    <t>Cash and cash Equivalents Total</t>
  </si>
  <si>
    <t>Other Financial Assets Total</t>
  </si>
  <si>
    <t>Other Current Assets Total</t>
  </si>
  <si>
    <t>Current Tax Assets Total</t>
  </si>
  <si>
    <t>Reserves &amp; Surplus Total</t>
  </si>
  <si>
    <t>Share Capital Total</t>
  </si>
  <si>
    <t>Long Term Borrowings Total</t>
  </si>
  <si>
    <t>Non Current - Provisions Total</t>
  </si>
  <si>
    <t>Deferred Tax Liabilities  Total</t>
  </si>
  <si>
    <t>Short Term Borrowings Total</t>
  </si>
  <si>
    <t>Trade Payables Total</t>
  </si>
  <si>
    <t>Other Financial Liabilities - Current Total</t>
  </si>
  <si>
    <t>Other Current Liabilities Total</t>
  </si>
  <si>
    <t>Short Term Provisions Total</t>
  </si>
  <si>
    <t>Revenue From Operations Total</t>
  </si>
  <si>
    <t>Other Income Total</t>
  </si>
  <si>
    <t>Raw Material Consumed Total</t>
  </si>
  <si>
    <t>Employee Benefit Expenses Total</t>
  </si>
  <si>
    <t>Finance Costs Total</t>
  </si>
  <si>
    <t>Other - Establishment Expenses Total</t>
  </si>
  <si>
    <t>Other - Manufacturing Expenses Total</t>
  </si>
  <si>
    <t>Other - Selling &amp; Distribution Expenses Total</t>
  </si>
  <si>
    <t>Depreciation &amp; Amortisation Total</t>
  </si>
  <si>
    <t>opening stock Total</t>
  </si>
  <si>
    <t>Capital WIP Total</t>
  </si>
  <si>
    <t>Tangible Asset Total</t>
  </si>
  <si>
    <t>Tangible Asset - PFD Total</t>
  </si>
  <si>
    <t>Balance with Bank in Deposit Accounts Total</t>
  </si>
  <si>
    <t>Advance For Capital Goods Total</t>
  </si>
  <si>
    <t>Balance with Government Authorities Total</t>
  </si>
  <si>
    <t>Long Term Deposits Total</t>
  </si>
  <si>
    <t>Trade Receivables Total</t>
  </si>
  <si>
    <t>Balance With Bank - Current A/c Total</t>
  </si>
  <si>
    <t>Cash On Hand Total</t>
  </si>
  <si>
    <t>Loans and Advances to Employees Total</t>
  </si>
  <si>
    <t>Advance to Suppliers Total</t>
  </si>
  <si>
    <t>Import Claim Receivable Total</t>
  </si>
  <si>
    <t>Insurance claim Receivable Total</t>
  </si>
  <si>
    <t>Prepaid Expenses Total</t>
  </si>
  <si>
    <t>Advance Income Tax Total</t>
  </si>
  <si>
    <t>Capital Reserve Total</t>
  </si>
  <si>
    <t>Issued, Subscribed &amp; Paid Up Total</t>
  </si>
  <si>
    <t>Secured - From Banks - Term Loan Total</t>
  </si>
  <si>
    <t>Unsecured-From Others Total</t>
  </si>
  <si>
    <t>Unsecured-From Related Party Total</t>
  </si>
  <si>
    <t>Provision for Employee Benefit Total</t>
  </si>
  <si>
    <t>Deferred Tax Liability Total</t>
  </si>
  <si>
    <t>Secured - From Banks - Working Capital Loan Total</t>
  </si>
  <si>
    <t>Trade Payables - Others Total</t>
  </si>
  <si>
    <t>Employee Payables Total</t>
  </si>
  <si>
    <t>GST Total</t>
  </si>
  <si>
    <t>Profession Tax Total</t>
  </si>
  <si>
    <t>Statutory Dues Total</t>
  </si>
  <si>
    <t>PSI Subsidy Total</t>
  </si>
  <si>
    <t>Sale of Goods - Manufacturing Sales Total</t>
  </si>
  <si>
    <t>Foreign Exchange Fluctuation Gain on RM Total</t>
  </si>
  <si>
    <t>Interest Received Total</t>
  </si>
  <si>
    <t>Raw Material Purchase Total</t>
  </si>
  <si>
    <t>Contribution to Funds Total</t>
  </si>
  <si>
    <t>Salary &amp; Wages Total</t>
  </si>
  <si>
    <t>Staff Welfare Expenses Total</t>
  </si>
  <si>
    <t>Interest Expenses Total</t>
  </si>
  <si>
    <t>Other Borrowing Costs Total</t>
  </si>
  <si>
    <t>Audit Expenses Total</t>
  </si>
  <si>
    <t>Bad Debts Total</t>
  </si>
  <si>
    <t>Bank Commission &amp; Charges Total</t>
  </si>
  <si>
    <t>CSR Expenses Total</t>
  </si>
  <si>
    <t>Donation Total</t>
  </si>
  <si>
    <t>General Expenses Total</t>
  </si>
  <si>
    <t>Insurance Charges Total</t>
  </si>
  <si>
    <t>Internal Audit Fees Total</t>
  </si>
  <si>
    <t>Legal and Professional Charges Total</t>
  </si>
  <si>
    <t>Listing Expenses Total</t>
  </si>
  <si>
    <t>Office Expenses Total</t>
  </si>
  <si>
    <t>Printing &amp; Stationery Total</t>
  </si>
  <si>
    <t>Rates &amp; Taxes Total</t>
  </si>
  <si>
    <t>Rent Expense Total</t>
  </si>
  <si>
    <t>Repairs &amp; Maintainence - Others Total</t>
  </si>
  <si>
    <t>Repairs &amp; Maintainence - Vehicle Total</t>
  </si>
  <si>
    <t>Statutory Audit Fees Total</t>
  </si>
  <si>
    <t>Telephone Expenses Total</t>
  </si>
  <si>
    <t>Travelling and Conveyance Expense Total</t>
  </si>
  <si>
    <t>Factory Expenses Total</t>
  </si>
  <si>
    <t>Finished Goods Packing and Allied Charges Total</t>
  </si>
  <si>
    <t>Packing Material Purchase Total</t>
  </si>
  <si>
    <t>Power and Fuel Total</t>
  </si>
  <si>
    <t>Raw Material Sorting Charges Total</t>
  </si>
  <si>
    <t>Repairs &amp; Maintainence - Building Total</t>
  </si>
  <si>
    <t>Repairs &amp; Maintainence - Machinery Total</t>
  </si>
  <si>
    <t>Security Service Charges Total</t>
  </si>
  <si>
    <t>Stores &amp; Spares Consumed Total</t>
  </si>
  <si>
    <t>Waste Paper Feeding Charges Total</t>
  </si>
  <si>
    <t>Advertisement Expenses Total</t>
  </si>
  <si>
    <t>Clearing &amp; Forwarding Expenses Total</t>
  </si>
  <si>
    <t>Commission on Sales Total</t>
  </si>
  <si>
    <t>Freight on Sales Total</t>
  </si>
  <si>
    <t>Insurance on Sales Total</t>
  </si>
  <si>
    <t>Depreciation Total</t>
  </si>
  <si>
    <t>Trade Payables for capital goods Total</t>
  </si>
  <si>
    <t>General Reserve Total</t>
  </si>
  <si>
    <t>Securities Premium Total</t>
  </si>
  <si>
    <t>Surplus Total</t>
  </si>
  <si>
    <t>HARDOLI PAPER MILLS LIMITED</t>
  </si>
  <si>
    <t xml:space="preserve"> BALANCE SHEET AS AT 31ST MARCH, 2023</t>
  </si>
  <si>
    <t>Note No.</t>
  </si>
  <si>
    <t xml:space="preserve">As At </t>
  </si>
  <si>
    <t>March 31, 2023 (₹)</t>
  </si>
  <si>
    <t>March 31, 2022 (₹)</t>
  </si>
  <si>
    <t>ASSETS</t>
  </si>
  <si>
    <t>Non-current assets</t>
  </si>
  <si>
    <t>Capital work-in-progress</t>
  </si>
  <si>
    <t xml:space="preserve"> (i) Deposits</t>
  </si>
  <si>
    <t>Other Non-current assets</t>
  </si>
  <si>
    <t>Total Non-current assets</t>
  </si>
  <si>
    <t>Current assets</t>
  </si>
  <si>
    <t>Inventories</t>
  </si>
  <si>
    <t xml:space="preserve">    (i) Trade receivables</t>
  </si>
  <si>
    <t xml:space="preserve">    (ii) Cash and cash equivalents</t>
  </si>
  <si>
    <t>Other current assets</t>
  </si>
  <si>
    <t>Current Tax assets (Net)</t>
  </si>
  <si>
    <t>Total Assets</t>
  </si>
  <si>
    <t>EQUITY AND LIABILITIES</t>
  </si>
  <si>
    <t>Equity</t>
  </si>
  <si>
    <t xml:space="preserve">    Equity Share capital</t>
  </si>
  <si>
    <t xml:space="preserve">    Other Equity</t>
  </si>
  <si>
    <t xml:space="preserve">Total Equity </t>
  </si>
  <si>
    <t>Non-current liabilities</t>
  </si>
  <si>
    <t>Financial Liabilities</t>
  </si>
  <si>
    <t>(i) Borrowings</t>
  </si>
  <si>
    <t>(ii) Provisions</t>
  </si>
  <si>
    <t>Deferred tax liabilities (Net)</t>
  </si>
  <si>
    <t>Current liabilities</t>
  </si>
  <si>
    <t>(ii) Trade payables</t>
  </si>
  <si>
    <t>(iii) Other financial liabilities</t>
  </si>
  <si>
    <t xml:space="preserve"> Other current liabilities</t>
  </si>
  <si>
    <t>Provisions</t>
  </si>
  <si>
    <t>Total Current liabilities</t>
  </si>
  <si>
    <t>Total Equity and Liabilities</t>
  </si>
  <si>
    <t xml:space="preserve">Significant accounting policies &amp; Notes to Accounts </t>
  </si>
  <si>
    <t>The accompanying notes are an integral part of these standalone financial statements.</t>
  </si>
  <si>
    <t>As per our report of even date</t>
  </si>
  <si>
    <t>For and on behalf of the Board</t>
  </si>
  <si>
    <t>FOR DARAK AND ASSOCIATES</t>
  </si>
  <si>
    <t>ANIL KUMAR LAKHOTIYA - MANAGING  DIRECTOR</t>
  </si>
  <si>
    <t>CHARTERED ACCOUNTANTS</t>
  </si>
  <si>
    <t>(DIN:00367361)</t>
  </si>
  <si>
    <t>FIRM REGISTRATION NO.: 132818W</t>
  </si>
  <si>
    <t>KAILASH AGARWAL - WHOLE TIME DIRECTOR</t>
  </si>
  <si>
    <t>(DIN:00367292)</t>
  </si>
  <si>
    <t>PARTNER</t>
  </si>
  <si>
    <t>JARNAIL SINGH SAINI - CHIEF FINANCIAL OFFICER &amp; EXECUTIVE DIRECTOR</t>
  </si>
  <si>
    <t>Place: Nagpur</t>
  </si>
  <si>
    <t>(DIN:00367656)</t>
  </si>
  <si>
    <t>OMPRAKASH RATHI - WHOLE TIME DIRECTOR</t>
  </si>
  <si>
    <t>(DIN:00895316)</t>
  </si>
  <si>
    <t>MAYANK LUNIYA - COMPANY SECRETARY</t>
  </si>
  <si>
    <t>NOTE</t>
  </si>
  <si>
    <t>Year Ended</t>
  </si>
  <si>
    <t xml:space="preserve"> </t>
  </si>
  <si>
    <t xml:space="preserve"> Revenue From Operations</t>
  </si>
  <si>
    <t xml:space="preserve"> Other Income</t>
  </si>
  <si>
    <t xml:space="preserve">Total Income </t>
  </si>
  <si>
    <t>EXPENSES</t>
  </si>
  <si>
    <t>Cost of materials consumed</t>
  </si>
  <si>
    <t>Trading Purchase</t>
  </si>
  <si>
    <t>Changes in inventories of finished goods</t>
  </si>
  <si>
    <t>Employee benefits expense</t>
  </si>
  <si>
    <t>Finance costs</t>
  </si>
  <si>
    <t>Depreciation and amortization expense</t>
  </si>
  <si>
    <t>Other expenses</t>
  </si>
  <si>
    <t xml:space="preserve">Total expenses </t>
  </si>
  <si>
    <t xml:space="preserve">Profit/(loss) before exceptional items and tax </t>
  </si>
  <si>
    <t>Exceptional Item</t>
  </si>
  <si>
    <t xml:space="preserve">Profit/(loss) before tax </t>
  </si>
  <si>
    <t>Tax expense:</t>
  </si>
  <si>
    <t>(1) Current tax</t>
  </si>
  <si>
    <t>(2) Earlier Year Taxes</t>
  </si>
  <si>
    <t>(4) Deferred tax</t>
  </si>
  <si>
    <t>Profit (Loss) for the year</t>
  </si>
  <si>
    <t>A (i) Items that will not be reclassified to profit or loss</t>
  </si>
  <si>
    <t>(ii) Income tax relating to items that will not be reclassified to profit or loss</t>
  </si>
  <si>
    <t>B (i) Items that will be reclassified to profit or loss</t>
  </si>
  <si>
    <t xml:space="preserve">Total other Comprehensive Income </t>
  </si>
  <si>
    <t xml:space="preserve">Total Comprehensive Income for the year </t>
  </si>
  <si>
    <t xml:space="preserve"> 1) Basic EPS</t>
  </si>
  <si>
    <t xml:space="preserve"> 1) Diluted EPS</t>
  </si>
  <si>
    <t xml:space="preserve">A. Equity Share Capital </t>
  </si>
  <si>
    <t>Balance at the beginning of the year</t>
  </si>
  <si>
    <t>Changes in the Equity Share Capital during the year</t>
  </si>
  <si>
    <t>Balance at the end of the year</t>
  </si>
  <si>
    <t>B. Other Equity</t>
  </si>
  <si>
    <t>Opening Balance</t>
  </si>
  <si>
    <t>Changes in accounting policy or prior  period errors</t>
  </si>
  <si>
    <t>Restated balance at the beginning of the  reporting period</t>
  </si>
  <si>
    <t>Movement during the year'</t>
  </si>
  <si>
    <t>Revaluation Surplus</t>
  </si>
  <si>
    <t>Additions During the year</t>
  </si>
  <si>
    <t>Retained Earnings</t>
  </si>
  <si>
    <t>Change in PY Provision for Income Tax</t>
  </si>
  <si>
    <t>Profit for the year</t>
  </si>
  <si>
    <t>Other Comprehensive Income for the year</t>
  </si>
  <si>
    <t>Total Comprehensive Income for the year</t>
  </si>
  <si>
    <t>Transactions with owners in capacity as owners</t>
  </si>
  <si>
    <t>Dividends (including tax on dividend)</t>
  </si>
  <si>
    <t>Transfer to retained earnings</t>
  </si>
  <si>
    <t>Bonus shares, if any</t>
  </si>
  <si>
    <t>NOTE 3 : DEPOSITS (FINANCIAL ASSETS)</t>
  </si>
  <si>
    <t>(Unsecured, considered good unless otherwise stated)</t>
  </si>
  <si>
    <t>Long term Deposit with Banks maturing after 12 months</t>
  </si>
  <si>
    <t>Fixed deposits are lien marked for total facility against the said fixed deposit.</t>
  </si>
  <si>
    <t xml:space="preserve">NOTE 4 : OTHER NON CURRENT ASSETS </t>
  </si>
  <si>
    <t>Advance for Capital Goods</t>
  </si>
  <si>
    <t>NOTE 5 :INVENTORIES</t>
  </si>
  <si>
    <t>(Valued at cost or net realisable value whichever is less)</t>
  </si>
  <si>
    <t>Raw Materials</t>
  </si>
  <si>
    <t xml:space="preserve">Stores, Packing Material &amp; Fuel </t>
  </si>
  <si>
    <t xml:space="preserve">Finished Goods </t>
  </si>
  <si>
    <t>(Note- Inventories have been hypothecated with banks against cash credit facility.)</t>
  </si>
  <si>
    <t>NOTE 6 :TRADE RECEIVABLES</t>
  </si>
  <si>
    <t>Considered Good</t>
  </si>
  <si>
    <t xml:space="preserve">     Related Party</t>
  </si>
  <si>
    <t xml:space="preserve">     Other party</t>
  </si>
  <si>
    <t>Trade Receivable ageing schedule</t>
  </si>
  <si>
    <t>Outstanding for following periods from due date of payment - March 31,2023</t>
  </si>
  <si>
    <t>&lt;6 Months</t>
  </si>
  <si>
    <t>6Month-1Year</t>
  </si>
  <si>
    <t>1-2 Years</t>
  </si>
  <si>
    <t>More than 2 Years</t>
  </si>
  <si>
    <t>Total</t>
  </si>
  <si>
    <t>(i) Undisputed Trade receivables -considered good</t>
  </si>
  <si>
    <t>(i) Undisputed Trade receivables -considered doubtful</t>
  </si>
  <si>
    <t>(iii) Disputed trade receivables  considered good</t>
  </si>
  <si>
    <t>(iv) Disputed trade receivables  considered doubtful</t>
  </si>
  <si>
    <t>Outstanding for following periods from due date of payment - March 31,2022</t>
  </si>
  <si>
    <t>(i) Undisputed Trade Receivables - Considered Good</t>
  </si>
  <si>
    <t>(ii) Undisputed Trade Receivables - which have significant increase in credit risk.</t>
  </si>
  <si>
    <t>(iii)Undisputed Trade Receivables - Credit Impaired</t>
  </si>
  <si>
    <t>Note- A) Trade Receivables  have been hypothecated with banks against cash credit facility.</t>
  </si>
  <si>
    <t>NOTE 7 :CASH AND CASH EQUIVALENTS</t>
  </si>
  <si>
    <t>Cash and Cash Equivalents</t>
  </si>
  <si>
    <t>Cash on Hand</t>
  </si>
  <si>
    <t>Balances with Banks</t>
  </si>
  <si>
    <t>Current Account</t>
  </si>
  <si>
    <t>Unsecured &amp; Considered Good</t>
  </si>
  <si>
    <t>Loans &amp; Advances to Employees</t>
  </si>
  <si>
    <t>PSI Under Sales Tax receivable</t>
  </si>
  <si>
    <t xml:space="preserve">Advance to Suppliers </t>
  </si>
  <si>
    <t xml:space="preserve">Insurance Claim Receivable </t>
  </si>
  <si>
    <t>Income Tax Receivables (Net)</t>
  </si>
  <si>
    <t>AUTHORISED CAPITAL</t>
  </si>
  <si>
    <t>35,00,000 Equity Shares of Rs.10/- each (35,00,000 Equity Shares of Rs.10/- each)</t>
  </si>
  <si>
    <t>ISSUED, SUBSCRIBED AND PAID UP CAPITAL</t>
  </si>
  <si>
    <t>26,92,265 Equity Shares of Rs.10/- each fully paid up (26,92,265 Equity Shares of Rs.10/- each fully paid up)</t>
  </si>
  <si>
    <t>a. Details of shareholders holding more than 5% shares in the company</t>
  </si>
  <si>
    <t>NAME OF SHAREHOLDER</t>
  </si>
  <si>
    <t>31.03.2022</t>
  </si>
  <si>
    <t>31.03.2021</t>
  </si>
  <si>
    <t>% Held</t>
  </si>
  <si>
    <t>No.of Shares</t>
  </si>
  <si>
    <t>Omprakash Damodar Rathi</t>
  </si>
  <si>
    <t xml:space="preserve">Kailash P. Agarwal </t>
  </si>
  <si>
    <t>Akshay Omprakash Rathi</t>
  </si>
  <si>
    <t>Anil Kumar Lakhotiya</t>
  </si>
  <si>
    <t xml:space="preserve">Mangla Omprakash Rathi  </t>
  </si>
  <si>
    <t>Anilkumar Lakhotiya HUF</t>
  </si>
  <si>
    <t>b. Reconciliation of the number of shares outstanding at the beginning and at the end of the reporting period</t>
  </si>
  <si>
    <t>Equity Shares at the beginning of the year</t>
  </si>
  <si>
    <t>Add: Shares issued during the year</t>
  </si>
  <si>
    <t>Equity Shares at the end of the year</t>
  </si>
  <si>
    <t>d. Rights, preferences and restrictions attached to shares</t>
  </si>
  <si>
    <t>Equity shares</t>
  </si>
  <si>
    <t xml:space="preserve">The Company has one class of equity shares having a par value of Rs.10 each. Each shareholder is eligible for one vote per share held. The dividend proposed by the Board of Directors is subject to the approval of the shareholders in the ensuing Annual General Meeting, except in case of interim dividend. In the event of liquidation, the equity shareholders are eligible to receive the remaining assets of the Company after distribution of all preferential amounts, in proportion to their shareholding.                                    </t>
  </si>
  <si>
    <t>e. Details of Shares held by promoters:-</t>
  </si>
  <si>
    <t>As at March 31, 2023</t>
  </si>
  <si>
    <t>No. of Shares at the beginning of the year</t>
  </si>
  <si>
    <t>Change during the year</t>
  </si>
  <si>
    <t>No. of shares at the end of the year</t>
  </si>
  <si>
    <t>% of Total Shares</t>
  </si>
  <si>
    <t>Omprakash Rathi</t>
  </si>
  <si>
    <t>Kailash Purushottam Agrawal</t>
  </si>
  <si>
    <t>Anilkumar Murarilal Lakhotiya</t>
  </si>
  <si>
    <t>Jarnailsingh Gurdasssingh Saini</t>
  </si>
  <si>
    <t>Kamalkumar Kailash Agrawal</t>
  </si>
  <si>
    <t>Rajindrsingh Bishansingh Saini</t>
  </si>
  <si>
    <t>Rajiv Behal</t>
  </si>
  <si>
    <t>As at March 31, 2022</t>
  </si>
  <si>
    <t xml:space="preserve">Secured </t>
  </si>
  <si>
    <t xml:space="preserve">From Banks </t>
  </si>
  <si>
    <t>Term Loan from Bank (Refer Note. 18)</t>
  </si>
  <si>
    <t>WCTL from Bank (Refer Note. 18)</t>
  </si>
  <si>
    <t>Unsecured Loans</t>
  </si>
  <si>
    <t>From Others</t>
  </si>
  <si>
    <t>Employee Benefits</t>
  </si>
  <si>
    <t>Deferred Tax</t>
  </si>
  <si>
    <t>Nature of Timing Difference</t>
  </si>
  <si>
    <t>Property Plant &amp; Equipment</t>
  </si>
  <si>
    <t>Total  Deferred Tax liability</t>
  </si>
  <si>
    <t>Deferred Tax Asset /Liabilities(Net)</t>
  </si>
  <si>
    <t>From Banks</t>
  </si>
  <si>
    <t>Working Capital Facilities</t>
  </si>
  <si>
    <t>Total outstanding due to micro, small and medium enterprise</t>
  </si>
  <si>
    <t>Total outstanding dues other than micro enterprises &amp; small enterprises</t>
  </si>
  <si>
    <t>(i) MSME</t>
  </si>
  <si>
    <t>(ii) Others</t>
  </si>
  <si>
    <t>(iii) Disputed dues- MSME</t>
  </si>
  <si>
    <t>(iv) Disputed dues - Others</t>
  </si>
  <si>
    <t>Not Due</t>
  </si>
  <si>
    <t>The Principal amount and interest due there on remaining unpaid to suppliers under MSMED Act:</t>
  </si>
  <si>
    <t>2022-23</t>
  </si>
  <si>
    <t>2021-22</t>
  </si>
  <si>
    <t>Principle</t>
  </si>
  <si>
    <t>Interest</t>
  </si>
  <si>
    <t>iv) The amount of interest accrued and remaining unpaid at the end of each accounting year.</t>
  </si>
  <si>
    <t>v) The amount of further interest remaining due and payable even in the succeeding years until such date when the interest dues as above are actually paid to the small enterprise for the purpose of disallowance as a deductible expenditure under section 23 of MSMED Act,2006.</t>
  </si>
  <si>
    <t>Current Portion of Long Term Borrowings (Refer Note. 13)</t>
  </si>
  <si>
    <t xml:space="preserve"> - Term Loan from Bank</t>
  </si>
  <si>
    <t xml:space="preserve"> - WCTL from Bank</t>
  </si>
  <si>
    <t>Remuneration Payable</t>
  </si>
  <si>
    <t>Bonus, Leave Encashment Payable</t>
  </si>
  <si>
    <t>Current Provision for Gratuity (Refer Note 34)</t>
  </si>
  <si>
    <t>Sale of Products</t>
  </si>
  <si>
    <t xml:space="preserve">     - Manufacturing Sales</t>
  </si>
  <si>
    <t>Other Operating Revenue</t>
  </si>
  <si>
    <t xml:space="preserve">     - PSI Subsidy</t>
  </si>
  <si>
    <t>Gain /(Loss) on Foreign Exchange Fluctuation</t>
  </si>
  <si>
    <t>Interest Income</t>
  </si>
  <si>
    <t>Add:  Purchases</t>
  </si>
  <si>
    <t xml:space="preserve">Less: Closing Stock </t>
  </si>
  <si>
    <t>Less : Closing Stock</t>
  </si>
  <si>
    <t>Other Borrowing Cost</t>
  </si>
  <si>
    <t>MANUFACTURING EXPENSES</t>
  </si>
  <si>
    <t>Packing Material Consumed</t>
  </si>
  <si>
    <t>Power and Fuel Consumed</t>
  </si>
  <si>
    <t>Repairs &amp; Maintenance</t>
  </si>
  <si>
    <t xml:space="preserve">     - Machinery</t>
  </si>
  <si>
    <t xml:space="preserve">      - Building</t>
  </si>
  <si>
    <t>Waste paper Feeding Charges</t>
  </si>
  <si>
    <t>( A )</t>
  </si>
  <si>
    <t>ESTABLISHMENT EXPENSES</t>
  </si>
  <si>
    <t>Auditors Remuneration</t>
  </si>
  <si>
    <t xml:space="preserve">Bad Debts </t>
  </si>
  <si>
    <t>CSR Expenses (Refer Note 37)</t>
  </si>
  <si>
    <t>Legal &amp; Professional Charges</t>
  </si>
  <si>
    <t>Listing Expense</t>
  </si>
  <si>
    <t xml:space="preserve">    - Vehicle </t>
  </si>
  <si>
    <t xml:space="preserve">    - Others</t>
  </si>
  <si>
    <t>Rent for Office Premises</t>
  </si>
  <si>
    <t>Travelling &amp; Conveyance</t>
  </si>
  <si>
    <t>( B )</t>
  </si>
  <si>
    <t>SELLING &amp; DISTRIBUTION EXPENSES</t>
  </si>
  <si>
    <t xml:space="preserve">Advertisement </t>
  </si>
  <si>
    <t>Commission on sales</t>
  </si>
  <si>
    <t>( C )</t>
  </si>
  <si>
    <t>( A+ B + C )</t>
  </si>
  <si>
    <t>A (i)Items that will not be reclassified in the profit &amp; loss</t>
  </si>
  <si>
    <t>Remeasurement of defined benefit liabilities</t>
  </si>
  <si>
    <t>B (i) Items that will be reclassified to the profit &amp; loss</t>
  </si>
  <si>
    <t xml:space="preserve">(ii) Income tax relating to items that will  be reclassified to profit or loss </t>
  </si>
  <si>
    <t>Total (A+B)</t>
  </si>
  <si>
    <t>Net Profit after tax from continuing operation</t>
  </si>
  <si>
    <t>Weighted average number of Equity shares outstanding (Face Value of ₹ 10 per Eq. Share)</t>
  </si>
  <si>
    <t>Earning per share</t>
  </si>
  <si>
    <t>Diluted Earning per Share</t>
  </si>
  <si>
    <t>A. CIF VALUE OF IMPORTS</t>
  </si>
  <si>
    <t>Raw Material - Waste Paper</t>
  </si>
  <si>
    <t>Capital Goods (Capital WIP)</t>
  </si>
  <si>
    <t>Stores &amp; Spare Parts</t>
  </si>
  <si>
    <t>B. STOCKS</t>
  </si>
  <si>
    <t>RAW MATERIAL</t>
  </si>
  <si>
    <t>Waste Paper</t>
  </si>
  <si>
    <t>Chemicals</t>
  </si>
  <si>
    <t>C. FINISHED GOODS</t>
  </si>
  <si>
    <t>Kraft Paper</t>
  </si>
  <si>
    <t>D. VALUE OF RAW MATERIAL, STORES &amp; SPARES CONSUMPTION:</t>
  </si>
  <si>
    <t>Imported</t>
  </si>
  <si>
    <t>Raw Material</t>
  </si>
  <si>
    <t>Value</t>
  </si>
  <si>
    <t>Percentage of Total Consumption</t>
  </si>
  <si>
    <t>Indigenous</t>
  </si>
  <si>
    <t>E. SALES</t>
  </si>
  <si>
    <t>Manufacturing Sales (Net of Taxes)</t>
  </si>
  <si>
    <t>Audit fee</t>
  </si>
  <si>
    <t>Notes</t>
  </si>
  <si>
    <t>a) Trade Receivables</t>
  </si>
  <si>
    <t>b) Cash and Cash Equivalents</t>
  </si>
  <si>
    <t>d) Other Financial Assets</t>
  </si>
  <si>
    <t>a) Borrowings</t>
  </si>
  <si>
    <t>b) Trade Payables</t>
  </si>
  <si>
    <t>c) Other Financial Liabilities</t>
  </si>
  <si>
    <t>Fair value hierarchy and method of valuation</t>
  </si>
  <si>
    <t>The company considers that the carrying value amount recognised in the financial statements approximate the fair value largely due to the short term maturities of these instruments.</t>
  </si>
  <si>
    <t>Risk Management Framework</t>
  </si>
  <si>
    <t>The company's principle financial liabilities includes borrowings, trade and other payables. The company's principal financial assets includes loans, cash and cash equivalents and others. The company is exposed to credit risk, liquidity risk and market risk. The company's senior management oversees the management of these risks. The Company's senior management provides assurance that the Company's financial risk activities are governed by appropriate policies and procedures and that financial risks are identified, measured and managed in accordance with the company's policies and risk objectives.</t>
  </si>
  <si>
    <t>Financial Risk Management</t>
  </si>
  <si>
    <t>The Company has exposure to the following risks arising from financial instruments:</t>
  </si>
  <si>
    <r>
      <t>i)</t>
    </r>
    <r>
      <rPr>
        <b/>
        <sz val="14"/>
        <rFont val="Calibri"/>
        <family val="2"/>
        <scheme val="minor"/>
      </rPr>
      <t xml:space="preserve"> Credit Risk :</t>
    </r>
    <r>
      <rPr>
        <sz val="14"/>
        <rFont val="Calibri"/>
        <family val="2"/>
        <scheme val="minor"/>
      </rPr>
      <t xml:space="preserve"> Credit risk is the risk of financial loss to the Company if a customer or counterparty to a financial instrument fails to meet its contractual obligations and arises principally from the Company's receivables from customers, investment in inter corporate deposit and loans given to related parties.</t>
    </r>
  </si>
  <si>
    <t>The carrying amount of following financial assets represents the maximum credit exposure:</t>
  </si>
  <si>
    <r>
      <t xml:space="preserve">Trade receivables : </t>
    </r>
    <r>
      <rPr>
        <sz val="14"/>
        <rFont val="Calibri"/>
        <family val="2"/>
        <scheme val="minor"/>
      </rPr>
      <t>The Company’s exposure to credit risk is influenced mainly by the individual characteristics of each customer. Each outstanding customer receivables are regularly monitored and if outstanding is above due date, the further sales are controlled and can only be released if there is a proper justification. No impairment is observed in the carrying value of trade receivables.</t>
    </r>
  </si>
  <si>
    <r>
      <t xml:space="preserve">Other Financial Assets: </t>
    </r>
    <r>
      <rPr>
        <sz val="14"/>
        <rFont val="Calibri"/>
        <family val="2"/>
        <scheme val="minor"/>
      </rPr>
      <t xml:space="preserve">Credit risk from balances with banks and loans, advances are managed by responsible and authorised person of the Company. Investments of surplus funds are made only with approved counterparties. </t>
    </r>
  </si>
  <si>
    <t>The Management monitors rolling forecasts of the Company's liquidity position on the basis of expected cash flows. The Company’s objective is to maintain a balance between continuity of funding and flexibility through the use of surplus funds and inter-corporate loans.</t>
  </si>
  <si>
    <r>
      <t xml:space="preserve">iii) </t>
    </r>
    <r>
      <rPr>
        <b/>
        <sz val="14"/>
        <rFont val="Calibri"/>
        <family val="2"/>
        <scheme val="minor"/>
      </rPr>
      <t xml:space="preserve">Market Risk : </t>
    </r>
    <r>
      <rPr>
        <sz val="14"/>
        <rFont val="Calibri"/>
        <family val="2"/>
        <scheme val="minor"/>
      </rPr>
      <t>Market risk is the risk that changes in market prices such as foreign exchange rates, interest rates and commodity prices which will affect the Company’s income or the value of its holdings of financial instruments. The objective of market risk management is to manage and control market exposures within acceptable parameters, while optimising the return.</t>
    </r>
    <r>
      <rPr>
        <b/>
        <sz val="14"/>
        <rFont val="Calibri"/>
        <family val="2"/>
        <scheme val="minor"/>
      </rPr>
      <t xml:space="preserve"> </t>
    </r>
  </si>
  <si>
    <r>
      <t xml:space="preserve">a) </t>
    </r>
    <r>
      <rPr>
        <b/>
        <sz val="14"/>
        <rFont val="Calibri"/>
        <family val="2"/>
        <scheme val="minor"/>
      </rPr>
      <t xml:space="preserve">Foreign currency risk </t>
    </r>
    <r>
      <rPr>
        <sz val="14"/>
        <rFont val="Calibri"/>
        <family val="2"/>
        <scheme val="minor"/>
      </rPr>
      <t>is the risk that the value of financial instruments will fluctuate due to changes in foreign exchange rates. It arises mainly where receivables and payables exist due to transactions entered in foreign currencies.</t>
    </r>
  </si>
  <si>
    <r>
      <t>b)</t>
    </r>
    <r>
      <rPr>
        <b/>
        <sz val="14"/>
        <rFont val="Calibri"/>
        <family val="2"/>
        <scheme val="minor"/>
      </rPr>
      <t xml:space="preserve"> Interest rate risk :</t>
    </r>
    <r>
      <rPr>
        <sz val="14"/>
        <rFont val="Calibri"/>
        <family val="2"/>
        <scheme val="minor"/>
      </rPr>
      <t xml:space="preserve"> Interest rate risk is the risk that the future cash flows of a financial instrument will fluctuate because of changes in market interest rates. The Company’s main interest rate risk arises from long-term borrowings with variable rates, which expose the Company to cash flow interest rate risk.</t>
    </r>
  </si>
  <si>
    <t>Exposure to interest rate risk</t>
  </si>
  <si>
    <t>The Company’s interest rate risk arises majorly from the term loans from banks carrying floating rate of interest. These obligations exposes the Company to cash flow interest rate risk. The exposure of the Company’s borrowing to interest rate changes as reported to the management at the end of the reporting period are as follows:</t>
  </si>
  <si>
    <t>Particulars Variable - rate Instruments</t>
  </si>
  <si>
    <t>Term Loan including WCTL  from Bank</t>
  </si>
  <si>
    <t>Current Borrowings (Working Capital Facility)</t>
  </si>
  <si>
    <t>Current maturities of non-current borrowings</t>
  </si>
  <si>
    <t>For the purpose of the Company’s capital management, capital includes issued equity share capital, share premium and all other equity reserves attributable to the equity holders. The primary objective of the management of the Company’s capital structure is to maintain an efficient mix of debt and equity in order to achieve a low cost of capital, while taking into account the desirability of retaining financial flexibility to pursue business opportunities and adequate access to liquidity to mitigate the effect of unforeseen events on cash flows.</t>
  </si>
  <si>
    <t>The Company manages its capital structure and makes adjustments to it in light of changes in economic conditions. To maintain or adjust the capital structure, the Company may return capital to shareholders, raise new debt or issue new shares.</t>
  </si>
  <si>
    <t>The Company monitors capital on the basis of the debt to capital ratio, which is calculated as interest-bearing debts divided by total capital (equity attributable to owners of the parent plus interest-bearing debts)</t>
  </si>
  <si>
    <t>(a) Defined Benefit Plans:</t>
  </si>
  <si>
    <t>Gratuity Fund</t>
  </si>
  <si>
    <t>The present value of the defined benefit obligations and the related current service cost were measured using the Projected Unit Credit Method, with actuarial valuations being carried out at each balance sheet date. The following table provides the disclosures in accordance with IND AS 19.</t>
  </si>
  <si>
    <t>Reconciliation of present value of the obligation and the fair value of plan assets</t>
  </si>
  <si>
    <t>Obligation at period beginning</t>
  </si>
  <si>
    <t>Current service cost</t>
  </si>
  <si>
    <t>Past Service Cost</t>
  </si>
  <si>
    <t>Interest Cost</t>
  </si>
  <si>
    <t>Actuarial (gain) /  loss</t>
  </si>
  <si>
    <t>Benefits paid</t>
  </si>
  <si>
    <t>Actuarial (gain) /  loss due to Experience</t>
  </si>
  <si>
    <t>Obligations at the year end</t>
  </si>
  <si>
    <t>Change in Plan Assets</t>
  </si>
  <si>
    <t>Plan assets at period beginning, at fair value</t>
  </si>
  <si>
    <t>Expected return on plan assets</t>
  </si>
  <si>
    <t>Actuarial gain /  (loss)</t>
  </si>
  <si>
    <t>Contributions</t>
  </si>
  <si>
    <t>Plan assets at the year end, at fair value</t>
  </si>
  <si>
    <t>Fair Value of plan assets at the end of the year</t>
  </si>
  <si>
    <t>Present value of the defined benefit obligations at the end of the year</t>
  </si>
  <si>
    <t>Liabilities/(Assets) recognised in the Balance Sheet</t>
  </si>
  <si>
    <t>Cost for the year</t>
  </si>
  <si>
    <t>Net Cost recognised in the Statement of Profit and Loss</t>
  </si>
  <si>
    <t>Assumptions used to determine the benefit obligation:</t>
  </si>
  <si>
    <t>Discount Rate</t>
  </si>
  <si>
    <t>Estimated rate of return on plan assets</t>
  </si>
  <si>
    <t>Expected rate of increase in salary</t>
  </si>
  <si>
    <t>Attrition Rate</t>
  </si>
  <si>
    <t>Actual return on plan assets</t>
  </si>
  <si>
    <t>(b) Provident Fund</t>
  </si>
  <si>
    <t>“Contribution to provident and other funds” is recognised as an expense in the Statement of Profit and Loss.</t>
  </si>
  <si>
    <t>NOTE 35 :</t>
  </si>
  <si>
    <t>Directors/ Key Management Personnel</t>
  </si>
  <si>
    <t>Mr. Kailash Chand Agarwal</t>
  </si>
  <si>
    <t>Mr. Anil kumar Lakhotiya</t>
  </si>
  <si>
    <t>Mr. Jarnailsingh Saini</t>
  </si>
  <si>
    <t>Mr. Omprakash D. Rathi</t>
  </si>
  <si>
    <t>Enterprises in which there is a significant influence of Members/Directors</t>
  </si>
  <si>
    <t>Kaygaon Paper Mills Private Limited</t>
  </si>
  <si>
    <t>Saini Transport Company</t>
  </si>
  <si>
    <t>Chandra Sales Corporation</t>
  </si>
  <si>
    <t>Chandra Coal Private Limited</t>
  </si>
  <si>
    <t>Others</t>
  </si>
  <si>
    <t>(a) Director's &amp;  Key Management Personnel Relative</t>
  </si>
  <si>
    <t>Mr. Sartaj Manindersingh Saini</t>
  </si>
  <si>
    <t>Mrs. Anita Lakhotiya</t>
  </si>
  <si>
    <t xml:space="preserve">Mrs. Sushil Kaur Saini </t>
  </si>
  <si>
    <t>Mrs. Kajal Sanjay Agarwal</t>
  </si>
  <si>
    <t>Mr. Karnailsingh Saini</t>
  </si>
  <si>
    <t>Mr. Kailash Kaur</t>
  </si>
  <si>
    <t>Mr. Baljit Singh Saini</t>
  </si>
  <si>
    <t>Mrs. Snehlata A Lakhotiya</t>
  </si>
  <si>
    <t>Mr. Kuldeepsingh Saini</t>
  </si>
  <si>
    <t>Mrs. Hazelkaur Manindersingh Saini</t>
  </si>
  <si>
    <t>Mrs. Baljit Kaur</t>
  </si>
  <si>
    <t>Mrs. Sanjamkaur Saini</t>
  </si>
  <si>
    <t>Ms. Navita K. Agrawal</t>
  </si>
  <si>
    <t>Mr. Prakashkaur Saini</t>
  </si>
  <si>
    <t>Mrs. Amarjit kaur Saini</t>
  </si>
  <si>
    <t>Gurmitsingh Gurdassingh (HUF)</t>
  </si>
  <si>
    <t>Mrs.Satnamkaur Karnail Singh Saini</t>
  </si>
  <si>
    <t>Mr. Gaurav A Lakhotiya</t>
  </si>
  <si>
    <t>Karnail singh Gurudassingh (HUF)</t>
  </si>
  <si>
    <t>Mrs. Garima  Maheswari</t>
  </si>
  <si>
    <t>Disclosure of material transaction with related parties</t>
  </si>
  <si>
    <t>RELATED PARTY TRANSACTIONS DURING THE YEAR</t>
  </si>
  <si>
    <t>Profit &amp; loss A/c</t>
  </si>
  <si>
    <t>Sales</t>
  </si>
  <si>
    <t>Freight Charges</t>
  </si>
  <si>
    <t>Mr.Omprakash Damodar Rathi</t>
  </si>
  <si>
    <t>Mrs. Baljit Kaur Manindersingh Saini</t>
  </si>
  <si>
    <t>Mrs. Kailash Kaur Jarnailsingh Saini</t>
  </si>
  <si>
    <t>Mr. Gaurav Lakhotiya</t>
  </si>
  <si>
    <t>Director's Remuneration and Incentives</t>
  </si>
  <si>
    <t>Purchase of Coal</t>
  </si>
  <si>
    <t>Chandra Coal Private Ltd (Coal Purchase &amp; Coal Liasoning Charges)</t>
  </si>
  <si>
    <t>Purchase of Raw material (Net)</t>
  </si>
  <si>
    <t>Sale of Finished Goods (Net)</t>
  </si>
  <si>
    <t>Balance Sheet</t>
  </si>
  <si>
    <t>Mr. Anil M. Lakhotiya</t>
  </si>
  <si>
    <t>Baljitkaur Manindersingh Saini</t>
  </si>
  <si>
    <t>Jarnailsingh Saini</t>
  </si>
  <si>
    <t>Gaurav Lakhotiya</t>
  </si>
  <si>
    <t>CLOSING BALANCES</t>
  </si>
  <si>
    <t>Maximum Outstandings</t>
  </si>
  <si>
    <t>Mrs. Baljitkaur Manindersingh Saini</t>
  </si>
  <si>
    <t xml:space="preserve">Trade Payables </t>
  </si>
  <si>
    <t>Chandra Coal Private Ltd</t>
  </si>
  <si>
    <t>Saini Transport company</t>
  </si>
  <si>
    <t>Contingent liabilities not provided for in respect of:</t>
  </si>
  <si>
    <t>Bank Guarantee given to M.S.E.D.C.L.</t>
  </si>
  <si>
    <t>Bank Guarantee given to M.P.C.B.</t>
  </si>
  <si>
    <t>Interest as per section 16 of MSMED Act</t>
  </si>
  <si>
    <t>TDS</t>
  </si>
  <si>
    <t>Excise Duty From F.Y.2008-09 to 2010-2011</t>
  </si>
  <si>
    <t xml:space="preserve"> - Demand Raised excluding interest</t>
  </si>
  <si>
    <t xml:space="preserve"> - Penalty Levied</t>
  </si>
  <si>
    <t>Excise Duty From July 2003 to March 2004</t>
  </si>
  <si>
    <t>Excise Duty From April 2004 to October 2004</t>
  </si>
  <si>
    <t>Capital Commitments (Net of Advances )</t>
  </si>
  <si>
    <t>Estimated amount of contracts remaining to be executed on Capital accounts and not provided</t>
  </si>
  <si>
    <t>NOTE 40 :</t>
  </si>
  <si>
    <t>The balances of Trade Payables, Trade Receivables and Loans &amp; Advances are subject to confirmation and reconciliation.</t>
  </si>
  <si>
    <t>The Company is into manufacturing of Kraft Paper which is considered as the only reportable segment. The Company’s operations are based in India.</t>
  </si>
  <si>
    <t>In the opinion of the Board and as certified by the management, all expenses charged to revenue and various cash payments to the suppliers of materials and services through out the accounting year are genuine and have been solely and exclusively incurred out of business expediency.</t>
  </si>
  <si>
    <t>Unhedged Foreign Exchange Exposure</t>
  </si>
  <si>
    <t>Outstanding in INR</t>
  </si>
  <si>
    <t>Advance to Suppliers for Capital goods and stores</t>
  </si>
  <si>
    <t>Nil</t>
  </si>
  <si>
    <t>Trade Payables for Raw Materials &amp; Stores</t>
  </si>
  <si>
    <t>Previous year's figures have been regrouped and rearranged to correspond with the figures of current year wherever necessary.</t>
  </si>
  <si>
    <t>FIRM REGISTRATION NO: 132818W</t>
  </si>
  <si>
    <t>AAR Tech Engineering P.Y.</t>
  </si>
  <si>
    <t>Chaitanya Constructions PY</t>
  </si>
  <si>
    <t xml:space="preserve">Global Technologies P. Y. </t>
  </si>
  <si>
    <t>I-Kcal Systems Engineering LLP P.Y.</t>
  </si>
  <si>
    <t>Kessels Engineering Works Pvt. Ltd. P.Y.</t>
  </si>
  <si>
    <t>Packing Material</t>
  </si>
  <si>
    <t>Opening Bal.</t>
  </si>
  <si>
    <t>Purchase</t>
  </si>
  <si>
    <t>Closing</t>
  </si>
  <si>
    <t>Consumption</t>
  </si>
  <si>
    <t>Power &amp; Fuel</t>
  </si>
  <si>
    <t>Stores &amp; Spares</t>
  </si>
  <si>
    <t>Note 2 : PROPERTY, PLANT &amp; EQUIPMENT</t>
  </si>
  <si>
    <t>Asset Category</t>
  </si>
  <si>
    <t>Buildings</t>
  </si>
  <si>
    <t>Motor Vehicles</t>
  </si>
  <si>
    <t>Computers</t>
  </si>
  <si>
    <t>Office Equipments</t>
  </si>
  <si>
    <t>Furniture and Fittings</t>
  </si>
  <si>
    <t>Electrical Installations</t>
  </si>
  <si>
    <t>Gross Block</t>
  </si>
  <si>
    <t>Additions</t>
  </si>
  <si>
    <t>Disposals</t>
  </si>
  <si>
    <t>At March 31 2022</t>
  </si>
  <si>
    <t>Note :</t>
  </si>
  <si>
    <t>Capital Work in Progress (CWIP) ageing schedule</t>
  </si>
  <si>
    <t>CWIP</t>
  </si>
  <si>
    <t>Amount in CWIP for a period of</t>
  </si>
  <si>
    <t>&lt;1 Year</t>
  </si>
  <si>
    <t>1 - 2 Years</t>
  </si>
  <si>
    <t>2 - 3 Years</t>
  </si>
  <si>
    <t>&gt;3 Years</t>
  </si>
  <si>
    <t xml:space="preserve">  - Project in Progress</t>
  </si>
  <si>
    <t>Existing Plant</t>
  </si>
  <si>
    <t>2021-2022</t>
  </si>
  <si>
    <t>Gross  Block</t>
  </si>
  <si>
    <t>Additions From 01/04/2021-31/03/2022</t>
  </si>
  <si>
    <t>Deletions From 01/04/2021-31/03/2022</t>
  </si>
  <si>
    <t>Accumulated Depreciation on 01/04/2021</t>
  </si>
  <si>
    <t>Charge to P&amp;L</t>
  </si>
  <si>
    <t>Deletion</t>
  </si>
  <si>
    <t>Accumulated Depreciation</t>
  </si>
  <si>
    <t>Net Block</t>
  </si>
  <si>
    <t>Land</t>
  </si>
  <si>
    <t>Sub Total</t>
  </si>
  <si>
    <t>1. WIP Building</t>
  </si>
  <si>
    <t>2. WIP Plant &amp; Machinery</t>
  </si>
  <si>
    <t>2020-2021</t>
  </si>
  <si>
    <t>Additions From 01/04/2020-31/03/2021</t>
  </si>
  <si>
    <t>Deletions From 01/04/2020-31/03/2021</t>
  </si>
  <si>
    <t>Accumulated Depreciation on 01/04/2020</t>
  </si>
  <si>
    <t>2022-2023</t>
  </si>
  <si>
    <t>Additions From 01/04/2022-31/03/2023</t>
  </si>
  <si>
    <t>Deletions From 01/04/2022-31/03/2023</t>
  </si>
  <si>
    <t>Accumulated Depreciation on 01/04/2022</t>
  </si>
  <si>
    <t>At March 31 2023</t>
  </si>
  <si>
    <t>At April 01 2021</t>
  </si>
  <si>
    <t>1201060002666327</t>
  </si>
  <si>
    <t>KAMALKUMAR KAILASH AGRAWAL</t>
  </si>
  <si>
    <t>1201060002936271</t>
  </si>
  <si>
    <t>JARNAILSINGH GURDASSINGH SAINI</t>
  </si>
  <si>
    <t>1201060002936284</t>
  </si>
  <si>
    <t>RAJINDERSINGH BISHANSINGH SAINI</t>
  </si>
  <si>
    <t>1201060002956621</t>
  </si>
  <si>
    <t>KAILASH PURUSHOTTAM AGRAWAL</t>
  </si>
  <si>
    <t>1201060100063921</t>
  </si>
  <si>
    <t>ANILKUMAR MURARILAL LAKHOTIYA</t>
  </si>
  <si>
    <t>IN300214/37282168</t>
  </si>
  <si>
    <t>RAJIV  BEHAL</t>
  </si>
  <si>
    <t>IN301604/10015674</t>
  </si>
  <si>
    <t>OMPRAKASH RATHI</t>
  </si>
  <si>
    <t>J0000306</t>
  </si>
  <si>
    <t>JARNAIL SINGH  SAINI</t>
  </si>
  <si>
    <t>00001006</t>
  </si>
  <si>
    <t>KHUZEMA Z  SAIFEE</t>
  </si>
  <si>
    <t>00001007</t>
  </si>
  <si>
    <t>MURTUZA SHABBIR  BOHRA</t>
  </si>
  <si>
    <t>00001008</t>
  </si>
  <si>
    <t>MUSTAFA SHABBIR  BOHRA</t>
  </si>
  <si>
    <t>00001061</t>
  </si>
  <si>
    <t>KAMAL K AGRAWAL</t>
  </si>
  <si>
    <t>00001067</t>
  </si>
  <si>
    <t>ANILKUMAR  LAKHOTIYA (HUF)</t>
  </si>
  <si>
    <t>00001090</t>
  </si>
  <si>
    <t>KAILASH  KAUR</t>
  </si>
  <si>
    <t>00001091</t>
  </si>
  <si>
    <t>BALJIT  KAUR</t>
  </si>
  <si>
    <t>00001092</t>
  </si>
  <si>
    <t>JASWINDER  KAUR</t>
  </si>
  <si>
    <t>00001093</t>
  </si>
  <si>
    <t>MANINDER SINGH SAINI</t>
  </si>
  <si>
    <t>00001094</t>
  </si>
  <si>
    <t>BALJIT SINGH SAINI</t>
  </si>
  <si>
    <t>00001095</t>
  </si>
  <si>
    <t>SUSHIL  KAUR</t>
  </si>
  <si>
    <t>00001096</t>
  </si>
  <si>
    <t>SATNAM  KAUR</t>
  </si>
  <si>
    <t>00001098</t>
  </si>
  <si>
    <t>ANITA GAURAV LAKHOTIYA</t>
  </si>
  <si>
    <t>00001105</t>
  </si>
  <si>
    <t>GAURAV ANILKUMAR LAKHOTIYA</t>
  </si>
  <si>
    <t>00001106</t>
  </si>
  <si>
    <t>MEGHA AKSHAY RATHI</t>
  </si>
  <si>
    <t>00001108</t>
  </si>
  <si>
    <t>RUBLEEN SUKHWINDERSINGH SAINI</t>
  </si>
  <si>
    <t>00001109</t>
  </si>
  <si>
    <t>INDERJITSINGH JASBIRSINGH SAINI</t>
  </si>
  <si>
    <t>00001110</t>
  </si>
  <si>
    <t>RAJESHWARI SHASHIKANT KAPSE</t>
  </si>
  <si>
    <t>00001111</t>
  </si>
  <si>
    <t>RAMESH TAORI</t>
  </si>
  <si>
    <t>00001112</t>
  </si>
  <si>
    <t>SHREE HOME DECOR</t>
  </si>
  <si>
    <t>00001113</t>
  </si>
  <si>
    <t>KIRAN HARI CHAOJI</t>
  </si>
  <si>
    <t>00001114</t>
  </si>
  <si>
    <t>TASNEEM MURTAZA BOHRA</t>
  </si>
  <si>
    <t>00001115</t>
  </si>
  <si>
    <t>00001116</t>
  </si>
  <si>
    <t>BHUSHAN SURESH TAORI</t>
  </si>
  <si>
    <t>00001117</t>
  </si>
  <si>
    <t>AMRITPAL KAUR SAINI</t>
  </si>
  <si>
    <t>00001123</t>
  </si>
  <si>
    <t>MADHURIMA  RATHI</t>
  </si>
  <si>
    <t>00001126</t>
  </si>
  <si>
    <t>00001129</t>
  </si>
  <si>
    <t>PRITHPALSINGH JOGINDERSINGH KHANIJON</t>
  </si>
  <si>
    <t>00001130</t>
  </si>
  <si>
    <t>NARINDER KAUR GILL</t>
  </si>
  <si>
    <t>00001131</t>
  </si>
  <si>
    <t>00001133</t>
  </si>
  <si>
    <t>PRITAM NARENDRA KHIVANSARA</t>
  </si>
  <si>
    <t>1201060002237604</t>
  </si>
  <si>
    <t>SANJAY KAILASHCHANDRA AGRAWAL</t>
  </si>
  <si>
    <t>1201060002421256</t>
  </si>
  <si>
    <t>VASUDEO MALU</t>
  </si>
  <si>
    <t>1201060002423895</t>
  </si>
  <si>
    <t>SASHIKALA VASUDEO MALU</t>
  </si>
  <si>
    <t>1201060002473725</t>
  </si>
  <si>
    <t>ANITA DILIP AGRAWAL</t>
  </si>
  <si>
    <t>1201060002473744</t>
  </si>
  <si>
    <t>DILIP PURUSHOTTAMDASJI AGRAWAL</t>
  </si>
  <si>
    <t>1201060002930001</t>
  </si>
  <si>
    <t>BANWARI BHANWARLAL MALU</t>
  </si>
  <si>
    <t>1201060002959878</t>
  </si>
  <si>
    <t>SHAILENDRA KAILASHCHANDRA AGRAWAL</t>
  </si>
  <si>
    <t>1201060002973126</t>
  </si>
  <si>
    <t>KAILASH AGRAWAL HUF</t>
  </si>
  <si>
    <t>1201060003300667</t>
  </si>
  <si>
    <t>1201060003378027</t>
  </si>
  <si>
    <t>1201060100019329</t>
  </si>
  <si>
    <t>Shiv Kumar Balbhadra Prasad Agrawal</t>
  </si>
  <si>
    <t>1201060100026596</t>
  </si>
  <si>
    <t>Krishna Gopal Gorishankar Newatia</t>
  </si>
  <si>
    <t>1201060100048939</t>
  </si>
  <si>
    <t>Prem Sadhuram Kewalramani</t>
  </si>
  <si>
    <t>1201060100063915</t>
  </si>
  <si>
    <t>SNEHLATA ANILKUMAR LAKHOTIYA</t>
  </si>
  <si>
    <t>1201060100064450</t>
  </si>
  <si>
    <t>Anilkumar Murarilal Lakhotiya (HUF)</t>
  </si>
  <si>
    <t>1201060100209616</t>
  </si>
  <si>
    <t>VEEJAY OMPRAKASH BANSALL</t>
  </si>
  <si>
    <t>1201060100233584</t>
  </si>
  <si>
    <t>DILIPKUMAR GHISULAL BOHRA</t>
  </si>
  <si>
    <t>1201060100260880</t>
  </si>
  <si>
    <t>PRABHA AGRAWAL</t>
  </si>
  <si>
    <t>1201060100260901</t>
  </si>
  <si>
    <t>ARCHANA SHAILENDRA AGRAWAL</t>
  </si>
  <si>
    <t>1201060100260920</t>
  </si>
  <si>
    <t>KAJAL SANJAY AGRAWAL</t>
  </si>
  <si>
    <t>1201060100264211</t>
  </si>
  <si>
    <t>NAVITA KAMAL AGRAWAL</t>
  </si>
  <si>
    <t>1201060100264870</t>
  </si>
  <si>
    <t>KAVERIDEVI JEETMAL MALU</t>
  </si>
  <si>
    <t>1201090000714254</t>
  </si>
  <si>
    <t>DHANRAJ MURLIDHAR MINIYAR</t>
  </si>
  <si>
    <t>1201690000074131</t>
  </si>
  <si>
    <t>ALOK KIRTI MEHTA</t>
  </si>
  <si>
    <t>1202200000018681</t>
  </si>
  <si>
    <t>VIJAY RANGNATHRAO JOSHI</t>
  </si>
  <si>
    <t>1202300000276320</t>
  </si>
  <si>
    <t>BABULAL AMARCHAND AGRAWAL</t>
  </si>
  <si>
    <t>1202890000052057</t>
  </si>
  <si>
    <t>RAJKUMAR RAMPRASADJI AGRAWAL</t>
  </si>
  <si>
    <t>1202890001886195</t>
  </si>
  <si>
    <t>PRAVIN SHANKARLAL TAPADIA</t>
  </si>
  <si>
    <t>1203320001296038</t>
  </si>
  <si>
    <t>SAGAR PRAFUL MALANI</t>
  </si>
  <si>
    <t>1203450000841674</t>
  </si>
  <si>
    <t>RAMPRASAD RAMBILAS AGRAWAL</t>
  </si>
  <si>
    <t>1203460000462054</t>
  </si>
  <si>
    <t>NARAYAN DAS DHANWANI .</t>
  </si>
  <si>
    <t>1203600000026531</t>
  </si>
  <si>
    <t>DINA PRAFUL RANDERIA</t>
  </si>
  <si>
    <t>1205520000000211</t>
  </si>
  <si>
    <t>PRAMOD HASTIMAL RUNWAL</t>
  </si>
  <si>
    <t>1206420004707505</t>
  </si>
  <si>
    <t>NAVIN J BOHARA</t>
  </si>
  <si>
    <t>1206420006939762</t>
  </si>
  <si>
    <t>KISHOR POPATLAL CHORDIA</t>
  </si>
  <si>
    <t>1302190000124989</t>
  </si>
  <si>
    <t>NARENDRA RAMNATH BHANGDIYA</t>
  </si>
  <si>
    <t>1304030000015780</t>
  </si>
  <si>
    <t>MAXIM ALEX CASTELINO</t>
  </si>
  <si>
    <t>A0000103</t>
  </si>
  <si>
    <t>ACHYUT MADHAV  DHAMDHARE</t>
  </si>
  <si>
    <t>A0000105</t>
  </si>
  <si>
    <t>AJAY SHANTILAL  KHETARPAL</t>
  </si>
  <si>
    <t>A0000114</t>
  </si>
  <si>
    <t>ANIL DATTATRAYA  HAROLIKAR</t>
  </si>
  <si>
    <t>A0000120</t>
  </si>
  <si>
    <t>ARUNKUMAR RAMKISHORSING  SAINI</t>
  </si>
  <si>
    <t>A0000123</t>
  </si>
  <si>
    <t>ASHADEVI JAYANARAYAN  SONI</t>
  </si>
  <si>
    <t>A0000160</t>
  </si>
  <si>
    <t>AMARSINGH BAWASINGH  SAINI</t>
  </si>
  <si>
    <t>A0000161</t>
  </si>
  <si>
    <t>A0000301</t>
  </si>
  <si>
    <t>A R  AWACHAT</t>
  </si>
  <si>
    <t>A0000302</t>
  </si>
  <si>
    <t>ABDUL RAHMAN SIDDIQUI</t>
  </si>
  <si>
    <t>A0000303</t>
  </si>
  <si>
    <t>ABHAY  WADYALKAR</t>
  </si>
  <si>
    <t>A0000304</t>
  </si>
  <si>
    <t>ABHISHEK  AGRAWAL</t>
  </si>
  <si>
    <t>A0000306</t>
  </si>
  <si>
    <t>ADESH  BHATIA</t>
  </si>
  <si>
    <t>A0000308</t>
  </si>
  <si>
    <t>AJAY  SHARMA</t>
  </si>
  <si>
    <t>A0000309</t>
  </si>
  <si>
    <t>AJAY MOHANLAL  SAPRA</t>
  </si>
  <si>
    <t>A0000314</t>
  </si>
  <si>
    <t>AMRIK SINGH  JOLLY</t>
  </si>
  <si>
    <t>A0000315</t>
  </si>
  <si>
    <t>ANAND JAGANNATH  GAIDHAN</t>
  </si>
  <si>
    <t>A0000320</t>
  </si>
  <si>
    <t>ANIL WASUDEORAO  BALWAIK</t>
  </si>
  <si>
    <t>A0000321</t>
  </si>
  <si>
    <t>ANIL  GOENKA</t>
  </si>
  <si>
    <t>A0000323</t>
  </si>
  <si>
    <t>ANIRBAN  MAITY</t>
  </si>
  <si>
    <t>A0000324</t>
  </si>
  <si>
    <t>ANITA  AGRAWAL</t>
  </si>
  <si>
    <t>A0000332</t>
  </si>
  <si>
    <t>ARUN KUMAR  SHARMA</t>
  </si>
  <si>
    <t>A0000335</t>
  </si>
  <si>
    <t>ARUN GULABCHAND  JAISWAL</t>
  </si>
  <si>
    <t>A0000336</t>
  </si>
  <si>
    <t>ARVIND KUMAR  JAIN</t>
  </si>
  <si>
    <t>A0000344</t>
  </si>
  <si>
    <t>ASHOK  DAGA</t>
  </si>
  <si>
    <t>A0000346</t>
  </si>
  <si>
    <t>ASHWIN KAMALKUMAR  SINGHANIA</t>
  </si>
  <si>
    <t>A0000351</t>
  </si>
  <si>
    <t>AVTAR SONGH  SONI</t>
  </si>
  <si>
    <t>B0000101</t>
  </si>
  <si>
    <t>BALJITSINGH JASWANTSINGH  SAINI</t>
  </si>
  <si>
    <t>B0000106</t>
  </si>
  <si>
    <t>BHAGWANDAS VISHNUDAS  LADDHA</t>
  </si>
  <si>
    <t>B0000108</t>
  </si>
  <si>
    <t>BHARTI CHANDRAHAS  CHAREKAR</t>
  </si>
  <si>
    <t>B0000110</t>
  </si>
  <si>
    <t>BHIMRAO KANTIK  CHAUDHARI</t>
  </si>
  <si>
    <t>B0000112</t>
  </si>
  <si>
    <t>BULAKIDAS A  VERMA</t>
  </si>
  <si>
    <t>B0000158</t>
  </si>
  <si>
    <t>BALJITSINGH   JASWANTSINGH SAINI</t>
  </si>
  <si>
    <t>B0000159</t>
  </si>
  <si>
    <t>B0000302</t>
  </si>
  <si>
    <t>BACKSIS SINGH  RANA</t>
  </si>
  <si>
    <t>B0000304</t>
  </si>
  <si>
    <t>BALDEV SINGH  GOYAL</t>
  </si>
  <si>
    <t>B0000305</t>
  </si>
  <si>
    <t>BALJITSINGH  SAINI</t>
  </si>
  <si>
    <t>B0000310</t>
  </si>
  <si>
    <t>BHANUKUMAR  SHAH</t>
  </si>
  <si>
    <t>B0000313</t>
  </si>
  <si>
    <t>BHARTI  BANTHIA</t>
  </si>
  <si>
    <t>B0000314</t>
  </si>
  <si>
    <t>BHOLAJI CHINDHUJI  SHENDE</t>
  </si>
  <si>
    <t>B0000315</t>
  </si>
  <si>
    <t>BHUPINDER SINGH  KOHLI</t>
  </si>
  <si>
    <t>B0000316</t>
  </si>
  <si>
    <t>BHUPINDER SING  JOLLY</t>
  </si>
  <si>
    <t>B0000317</t>
  </si>
  <si>
    <t>BIMAL  VORA</t>
  </si>
  <si>
    <t>B0000321</t>
  </si>
  <si>
    <t>BRINDAVAN RAMSUMER  MISHRA</t>
  </si>
  <si>
    <t>B0000322</t>
  </si>
  <si>
    <t>BRIJINDER SINGH  SONI</t>
  </si>
  <si>
    <t>C0000101</t>
  </si>
  <si>
    <t>CHANDRAKANT HARIKISAN  RATHI</t>
  </si>
  <si>
    <t>C0000306</t>
  </si>
  <si>
    <t>CHANDRASHEKHAR  MADAN</t>
  </si>
  <si>
    <t>C0000310</t>
  </si>
  <si>
    <t>CHARANPRIT SINGH  SAINI</t>
  </si>
  <si>
    <t>C0000311</t>
  </si>
  <si>
    <t>CHETAN  CHANDAK</t>
  </si>
  <si>
    <t>C0000312</t>
  </si>
  <si>
    <t>CHHAYA  AGRAWAL</t>
  </si>
  <si>
    <t>D0000101</t>
  </si>
  <si>
    <t>DAMYANTI HANUMANDAS  RATHI</t>
  </si>
  <si>
    <t>D0000106</t>
  </si>
  <si>
    <t>DHYANPRAKASH KANHAIYALAL  MODANI</t>
  </si>
  <si>
    <t>D0000303</t>
  </si>
  <si>
    <t>DEEPAK  KHANDELWAL</t>
  </si>
  <si>
    <t>D0000304</t>
  </si>
  <si>
    <t>DEEPAK H  LAKHIANI</t>
  </si>
  <si>
    <t>D0000310</t>
  </si>
  <si>
    <t>DHIRENDRA  KANABAR</t>
  </si>
  <si>
    <t>D0000318</t>
  </si>
  <si>
    <t>DINESH  TAWARI</t>
  </si>
  <si>
    <t>D0000319</t>
  </si>
  <si>
    <t>DIPAK CHAMANLAL  PAREKH</t>
  </si>
  <si>
    <t>D0000320</t>
  </si>
  <si>
    <t>DIPAK BABURAO  CHAFALE</t>
  </si>
  <si>
    <t>D0000322</t>
  </si>
  <si>
    <t>DORAB  PATEL</t>
  </si>
  <si>
    <t>D0000325</t>
  </si>
  <si>
    <t>DIVYESH  VORA</t>
  </si>
  <si>
    <t>G0000103</t>
  </si>
  <si>
    <t>GEETA RAMNARAYAN SHARMA</t>
  </si>
  <si>
    <t>G0000108</t>
  </si>
  <si>
    <t>GOVIND KRISHNAJI  KUBDE</t>
  </si>
  <si>
    <t>G0000303</t>
  </si>
  <si>
    <t>GANESH S  BHATTAD</t>
  </si>
  <si>
    <t>G0000313</t>
  </si>
  <si>
    <t>GIRISH PISUMAL DEWANI</t>
  </si>
  <si>
    <t>G0000317</t>
  </si>
  <si>
    <t>GOPAL  AGRAWAL</t>
  </si>
  <si>
    <t>G0000323</t>
  </si>
  <si>
    <t>GULREZ IMRAN  ALI</t>
  </si>
  <si>
    <t>G0000327</t>
  </si>
  <si>
    <t>GURDAYAL SINGH  PADDA</t>
  </si>
  <si>
    <t>G0000333</t>
  </si>
  <si>
    <t>GHANSHYAM J  SOMANI</t>
  </si>
  <si>
    <t>H0000102</t>
  </si>
  <si>
    <t>HARISHCHANDRA BHAGRIRATH SONI</t>
  </si>
  <si>
    <t>H0000302</t>
  </si>
  <si>
    <t>HARISHCAHANDRA  GUPTA</t>
  </si>
  <si>
    <t>H0000303</t>
  </si>
  <si>
    <t>HARJIT SINGH  SAINI</t>
  </si>
  <si>
    <t>H0000304</t>
  </si>
  <si>
    <t>HARJINDER PAL  SINGH</t>
  </si>
  <si>
    <t>H0000306</t>
  </si>
  <si>
    <t>HEMANT  BANSAL</t>
  </si>
  <si>
    <t>H0000308</t>
  </si>
  <si>
    <t>HENRY  D'SOUZA</t>
  </si>
  <si>
    <t>I0000101</t>
  </si>
  <si>
    <t>INDUMATI HARICHANDRA  SONI</t>
  </si>
  <si>
    <t>I0000302</t>
  </si>
  <si>
    <t>INDERCHAND  JAIN</t>
  </si>
  <si>
    <t>I0000306</t>
  </si>
  <si>
    <t>IQBAL SINGH  CHABRA</t>
  </si>
  <si>
    <t>IN300159/10247390</t>
  </si>
  <si>
    <t>NIRMAL MODI</t>
  </si>
  <si>
    <t>IN300183/12090888</t>
  </si>
  <si>
    <t>AKSHAY OMPRAKASH RATHI</t>
  </si>
  <si>
    <t>IN300214/13740590</t>
  </si>
  <si>
    <t>RAJESH SAJJAN JAIN</t>
  </si>
  <si>
    <t>IN300214/14654619</t>
  </si>
  <si>
    <t>SUDHA GUPTA</t>
  </si>
  <si>
    <t>IN300513/15045878</t>
  </si>
  <si>
    <t>MANJU MAYUR BAGADIA</t>
  </si>
  <si>
    <t>IN300513/15067950</t>
  </si>
  <si>
    <t>JYOTI K BAGADIA</t>
  </si>
  <si>
    <t>IN300513/86347801</t>
  </si>
  <si>
    <t>BHARATKUMAR BHOGILAL DOSHI</t>
  </si>
  <si>
    <t>IN300513/86429107</t>
  </si>
  <si>
    <t>PRAFULLACHANDRA BHOGILAL DOSHI</t>
  </si>
  <si>
    <t>IN300513/87778455</t>
  </si>
  <si>
    <t>SHANKARLAL BHAGWANDAS KHANDELWAL</t>
  </si>
  <si>
    <t>IN300757/10487373</t>
  </si>
  <si>
    <t>SHRAWAN KUMAR MALU</t>
  </si>
  <si>
    <t>IN300757/10488663</t>
  </si>
  <si>
    <t>PURUSHOTTAM MALU</t>
  </si>
  <si>
    <t>IN300888/13445440</t>
  </si>
  <si>
    <t>NAREN PRAVIN SANGHVI</t>
  </si>
  <si>
    <t>IN300974/10367045</t>
  </si>
  <si>
    <t>DILIP RAMESHCHANDRA LAL</t>
  </si>
  <si>
    <t>IN300982/10268941</t>
  </si>
  <si>
    <t>BHAVESH DHIRAJLAL TANNA</t>
  </si>
  <si>
    <t>IN301330/20523538</t>
  </si>
  <si>
    <t>GUNWANT VENKATRAO PATIL</t>
  </si>
  <si>
    <t>IN301330/21995605</t>
  </si>
  <si>
    <t>IN301549/19570178</t>
  </si>
  <si>
    <t>SUSHIL RAJENDRA SANGHI</t>
  </si>
  <si>
    <t>IN301549/54220696</t>
  </si>
  <si>
    <t>PLUTUS CAPITAL MANAGEMENT LLP</t>
  </si>
  <si>
    <t>IN301604/10015683</t>
  </si>
  <si>
    <t>AKSHAY RATHI</t>
  </si>
  <si>
    <t>IN301604/10015690</t>
  </si>
  <si>
    <t>MANGAL RATHI</t>
  </si>
  <si>
    <t>IN301604/10309670</t>
  </si>
  <si>
    <t>JUGALKISHORE ASARAMJI DHOOT</t>
  </si>
  <si>
    <t>IN301604/10587304</t>
  </si>
  <si>
    <t>NAVALKUMAR B AGRAWAL</t>
  </si>
  <si>
    <t>IN301604/11008207</t>
  </si>
  <si>
    <t>LATA JUGALKISHOR DHOOT</t>
  </si>
  <si>
    <t>IN302437/10078360</t>
  </si>
  <si>
    <t>KISHORE CHANGRANI</t>
  </si>
  <si>
    <t>IN302461/10145282</t>
  </si>
  <si>
    <t>VORA  CHANDRAKANT</t>
  </si>
  <si>
    <t>IN302679/30889008</t>
  </si>
  <si>
    <t>VITHALDAS CHUNILAL BAJAJ</t>
  </si>
  <si>
    <t>IN303028/67899511</t>
  </si>
  <si>
    <t>DIANA  DSOUZA</t>
  </si>
  <si>
    <t>IN303028/99847562</t>
  </si>
  <si>
    <t>ONKARSINGH SEWASINGH BAINS</t>
  </si>
  <si>
    <t>IN306114/20080716</t>
  </si>
  <si>
    <t>MANOJ KUMAR KOCHAR</t>
  </si>
  <si>
    <t>J0000102</t>
  </si>
  <si>
    <t>JASVINDERKAUR JASWANTSINGH  SAINI</t>
  </si>
  <si>
    <t>J0000103</t>
  </si>
  <si>
    <t>JASWANTSINGH AMARSINGH  SAINI</t>
  </si>
  <si>
    <t>J0000105</t>
  </si>
  <si>
    <t>JEETKAUR AMARSINGH  SAINI</t>
  </si>
  <si>
    <t>J0000158</t>
  </si>
  <si>
    <t>J0000159</t>
  </si>
  <si>
    <t>J0000160</t>
  </si>
  <si>
    <t>J0000161</t>
  </si>
  <si>
    <t>JEETKAUR   AMARSINGH SAINI</t>
  </si>
  <si>
    <t>J0000301</t>
  </si>
  <si>
    <t>JAGANNATH  SONI</t>
  </si>
  <si>
    <t>J0000307</t>
  </si>
  <si>
    <t>JARNAIL SINGH  DHOOT</t>
  </si>
  <si>
    <t>J0000308</t>
  </si>
  <si>
    <t>JASBIR SINGH  SAINI</t>
  </si>
  <si>
    <t>J0000309</t>
  </si>
  <si>
    <t>JASBIRSINGH  SAINI</t>
  </si>
  <si>
    <t>J0000315</t>
  </si>
  <si>
    <t>JAYESH  BAVISHI</t>
  </si>
  <si>
    <t>J0000325</t>
  </si>
  <si>
    <t>JUGALKISHORE  AGRAWAL</t>
  </si>
  <si>
    <t>J0000326</t>
  </si>
  <si>
    <t>JUZER  AMIN</t>
  </si>
  <si>
    <t>J0000330</t>
  </si>
  <si>
    <t>JYOTI KRISHNA HEDA</t>
  </si>
  <si>
    <t>K0000105</t>
  </si>
  <si>
    <t>KAILASHKAUR JARNAILSINGH  SAINI</t>
  </si>
  <si>
    <t>K0000107</t>
  </si>
  <si>
    <t>KALPANA GANGADHAR  LALPOTU</t>
  </si>
  <si>
    <t>K0000108</t>
  </si>
  <si>
    <t>KALPANA SANJAY SOMANI</t>
  </si>
  <si>
    <t>K0000115</t>
  </si>
  <si>
    <t>KARNALSINGH GURDASSINGH  SAINI</t>
  </si>
  <si>
    <t>K0000121</t>
  </si>
  <si>
    <t>KISHOR UTTAMCHAND  KHIVANSARA</t>
  </si>
  <si>
    <t>K0000124</t>
  </si>
  <si>
    <t>KULDEEPSINGH GURMITSINGH  SAINI</t>
  </si>
  <si>
    <t>K0000159</t>
  </si>
  <si>
    <t>K0000160</t>
  </si>
  <si>
    <t>KALYANI OMPRAKASH  RATHI</t>
  </si>
  <si>
    <t>K0000161</t>
  </si>
  <si>
    <t>KARNAILSINGH GURDASSING  SAINI</t>
  </si>
  <si>
    <t>K0000164</t>
  </si>
  <si>
    <t>K0000303</t>
  </si>
  <si>
    <t>KAILASH  RATHI</t>
  </si>
  <si>
    <t>K0000305</t>
  </si>
  <si>
    <t>KAILASH CHANDRA  NUWAL</t>
  </si>
  <si>
    <t>K0000306</t>
  </si>
  <si>
    <t>KAJORMAL  AGRAWAL</t>
  </si>
  <si>
    <t>K0000311</t>
  </si>
  <si>
    <t>KAMLADEVI B  MALU</t>
  </si>
  <si>
    <t>K0000312</t>
  </si>
  <si>
    <t>KAMLESH  RATHI</t>
  </si>
  <si>
    <t>K0000314</t>
  </si>
  <si>
    <t>KANAIYALAL  THAKKAR</t>
  </si>
  <si>
    <t>K0000315</t>
  </si>
  <si>
    <t>KANCHAN SANJAY  GANDHI</t>
  </si>
  <si>
    <t>K0000318</t>
  </si>
  <si>
    <t>KANTILAL MOHANLAL  JALAPARA</t>
  </si>
  <si>
    <t>K0000319</t>
  </si>
  <si>
    <t>KANTILAL CHAMPAKLAL  BHAYANI</t>
  </si>
  <si>
    <t>K0000320</t>
  </si>
  <si>
    <t>KASHIDEVI  AGRAWAL</t>
  </si>
  <si>
    <t>K0000326</t>
  </si>
  <si>
    <t>KHUZEMA  SAIFEE</t>
  </si>
  <si>
    <t>K0000327</t>
  </si>
  <si>
    <t>KIRAN  KHIVANSARA</t>
  </si>
  <si>
    <t>K0000330</t>
  </si>
  <si>
    <t>KIRIT GOVARDHAN  DAS KARIA</t>
  </si>
  <si>
    <t>K0000331</t>
  </si>
  <si>
    <t>KISAN VITHOBA  BHOLE</t>
  </si>
  <si>
    <t>K0000336</t>
  </si>
  <si>
    <t>KISHOR  SONI</t>
  </si>
  <si>
    <t>K0000338</t>
  </si>
  <si>
    <t>KRISHNA  HEDA</t>
  </si>
  <si>
    <t>K0000341</t>
  </si>
  <si>
    <t>KRUTI  VARMA</t>
  </si>
  <si>
    <t>K0000342</t>
  </si>
  <si>
    <t>KULVINDER SINGH  MANGAT</t>
  </si>
  <si>
    <t>K0000343</t>
  </si>
  <si>
    <t>KULWANT SINGH  TULI</t>
  </si>
  <si>
    <t>L0000101</t>
  </si>
  <si>
    <t>LAXMIDEVI DWARKADAS  SHARMA</t>
  </si>
  <si>
    <t>L0000102</t>
  </si>
  <si>
    <t>LAXMINARAYAN DHANRAJ  SHARMA</t>
  </si>
  <si>
    <t>L0000301</t>
  </si>
  <si>
    <t>LAHARI MANOHAR  VAKIL</t>
  </si>
  <si>
    <t>L0000302</t>
  </si>
  <si>
    <t>LAJINDER SINGH  BAWA</t>
  </si>
  <si>
    <t>L0000310</t>
  </si>
  <si>
    <t>LATA  DHOOT</t>
  </si>
  <si>
    <t>M0000102</t>
  </si>
  <si>
    <t>MADHURI SURESH  VAISHNAV</t>
  </si>
  <si>
    <t>M0000106</t>
  </si>
  <si>
    <t>MANINDERKAUR HARVINDERSINGH  SAINI</t>
  </si>
  <si>
    <t>M0000107</t>
  </si>
  <si>
    <t>MANINDERSINGH JARNAILSINGH  SAINI</t>
  </si>
  <si>
    <t>M0000109</t>
  </si>
  <si>
    <t>MANOJ DWARKANATH  LOYA</t>
  </si>
  <si>
    <t>M0000158</t>
  </si>
  <si>
    <t>M0000302</t>
  </si>
  <si>
    <t>MADHUSUDAN  BHATRIYA</t>
  </si>
  <si>
    <t>M0000303</t>
  </si>
  <si>
    <t>MADHU  TAORI</t>
  </si>
  <si>
    <t>M0000304</t>
  </si>
  <si>
    <t>MADHU  AGARWAL</t>
  </si>
  <si>
    <t>M0000322</t>
  </si>
  <si>
    <t>MANJEET SINGH  SAINI</t>
  </si>
  <si>
    <t>M0000323</t>
  </si>
  <si>
    <t>MANJIT SINGH  SONI</t>
  </si>
  <si>
    <t>M0000328</t>
  </si>
  <si>
    <t>MANOHARLAL  AGRAWAL</t>
  </si>
  <si>
    <t>M0000329</t>
  </si>
  <si>
    <t>MANOHAR  BHORKAR</t>
  </si>
  <si>
    <t>M0000330</t>
  </si>
  <si>
    <t>MANOHARRAO  GIRDE</t>
  </si>
  <si>
    <t>M0000337</t>
  </si>
  <si>
    <t>MD AZUM  S/O A RAZZAK TUMBI</t>
  </si>
  <si>
    <t>M0000338</t>
  </si>
  <si>
    <t>MEEMRAJ  AGARWAL</t>
  </si>
  <si>
    <t>M0000342</t>
  </si>
  <si>
    <t>MILIND  BHOLE</t>
  </si>
  <si>
    <t>M0000344</t>
  </si>
  <si>
    <t>MITA  BAVISHI</t>
  </si>
  <si>
    <t>M0000347</t>
  </si>
  <si>
    <t>MOHD AZAM  TUMBI</t>
  </si>
  <si>
    <t>M0000349</t>
  </si>
  <si>
    <t>MUFFADDAL  AMIN</t>
  </si>
  <si>
    <t>M0000350</t>
  </si>
  <si>
    <t>MUKESH  CHOURASIA</t>
  </si>
  <si>
    <t>M0000351</t>
  </si>
  <si>
    <t>MUKUL KUMAR  AGRAWAL</t>
  </si>
  <si>
    <t>M0000355</t>
  </si>
  <si>
    <t>MUSTAFA  COCHINWALA</t>
  </si>
  <si>
    <t>N0000101</t>
  </si>
  <si>
    <t>N  NARENDRAN</t>
  </si>
  <si>
    <t>N0000105</t>
  </si>
  <si>
    <t>NANDLAL GOVERDHANDAS  BHANSALI</t>
  </si>
  <si>
    <t>N0000110</t>
  </si>
  <si>
    <t>NAUNATH SHEKUJI  SHEWALE</t>
  </si>
  <si>
    <t>N0000113</t>
  </si>
  <si>
    <t>NAWNEETADAS VALLABHDAS  PAREKH</t>
  </si>
  <si>
    <t>N0000118</t>
  </si>
  <si>
    <t>NITIN JAYNARAYAN  SONI</t>
  </si>
  <si>
    <t>N0000302</t>
  </si>
  <si>
    <t>NAGESH  BURBURE</t>
  </si>
  <si>
    <t>N0000318</t>
  </si>
  <si>
    <t>NARESH ZUMBERLAL  JAIN</t>
  </si>
  <si>
    <t>N0000319</t>
  </si>
  <si>
    <t>NARINDER KUMAR  SAINI</t>
  </si>
  <si>
    <t>N0000320</t>
  </si>
  <si>
    <t>NAWALKISHORE  AGRAWAL</t>
  </si>
  <si>
    <t>N0000322</t>
  </si>
  <si>
    <t>NINNA Y  CHUGH</t>
  </si>
  <si>
    <t>N0000328</t>
  </si>
  <si>
    <t>NITA T  KOYA</t>
  </si>
  <si>
    <t>O0000102</t>
  </si>
  <si>
    <t>OMPRAKASH BHAULAL ASAWA</t>
  </si>
  <si>
    <t>P0000107</t>
  </si>
  <si>
    <t>PRAKASH BALWANTRAO  SARJE</t>
  </si>
  <si>
    <t>P0000111</t>
  </si>
  <si>
    <t>PRAVINCHANDRA SHIVRAM  DRAVID</t>
  </si>
  <si>
    <t>P0000301</t>
  </si>
  <si>
    <t>P P  TUNGLE</t>
  </si>
  <si>
    <t>P0000303</t>
  </si>
  <si>
    <t>PARAMJIT SINGH  MATHARU</t>
  </si>
  <si>
    <t>P0000304</t>
  </si>
  <si>
    <t>PAWAN KUMAR  RUNGTA</t>
  </si>
  <si>
    <t>P0000305</t>
  </si>
  <si>
    <t>PAWANKUMAR SHYAMSUNDAR  PODDAR</t>
  </si>
  <si>
    <t>P0000306</t>
  </si>
  <si>
    <t>PAWAN  BANSAL</t>
  </si>
  <si>
    <t>P0000308</t>
  </si>
  <si>
    <t>PRADIP  DESHMUKH</t>
  </si>
  <si>
    <t>P0000314</t>
  </si>
  <si>
    <t>PRAKASH GOVERDHAN  KARIYA</t>
  </si>
  <si>
    <t>P0000315</t>
  </si>
  <si>
    <t>PRAKASH DIWAN  RAJPUT</t>
  </si>
  <si>
    <t>P0000317</t>
  </si>
  <si>
    <t>PRAMILA  SHAH</t>
  </si>
  <si>
    <t>P0000320</t>
  </si>
  <si>
    <t>PRASHANT PURUSHOTTAM  JAGDALE</t>
  </si>
  <si>
    <t>P0000322</t>
  </si>
  <si>
    <t>PRASHANT VISHNU  ASHTIKAR</t>
  </si>
  <si>
    <t>P0000323</t>
  </si>
  <si>
    <t>PRATIBHA  DESHMUKH</t>
  </si>
  <si>
    <t>P0000324</t>
  </si>
  <si>
    <t>PRAVINABEN V  VORA</t>
  </si>
  <si>
    <t>P0000327</t>
  </si>
  <si>
    <t>PREM SHANKAR  MUNDHRA</t>
  </si>
  <si>
    <t>P0000331</t>
  </si>
  <si>
    <t>PREMLATA  BANSAL</t>
  </si>
  <si>
    <t>P0000332</t>
  </si>
  <si>
    <t>PRITAM  KHIVANSARA</t>
  </si>
  <si>
    <t>P0000334</t>
  </si>
  <si>
    <t>PRITPALSINGH  KHAIJOUN</t>
  </si>
  <si>
    <t>R0000101</t>
  </si>
  <si>
    <t>RACHNA MAHAVIR  PRASAD MODI</t>
  </si>
  <si>
    <t>R0000104</t>
  </si>
  <si>
    <t>RAGHUNATH GOVINDRAM  MINEEYAR</t>
  </si>
  <si>
    <t>R0000116</t>
  </si>
  <si>
    <t>RAJKAMAL RAMKISHAN  BAHETI</t>
  </si>
  <si>
    <t>R0000119</t>
  </si>
  <si>
    <t>RAMESH MOHANLAL  TAORI (HUF)</t>
  </si>
  <si>
    <t>R0000120</t>
  </si>
  <si>
    <t>RAMKISHAN DEVICHAND  BAHETI</t>
  </si>
  <si>
    <t>R0000121</t>
  </si>
  <si>
    <t>RAMPRASAD RAMBILAS  AGRAWAL</t>
  </si>
  <si>
    <t>R0000123</t>
  </si>
  <si>
    <t>RASHMI UMESH  PANDAV</t>
  </si>
  <si>
    <t>R0000124</t>
  </si>
  <si>
    <t>RAVINAND RAJARAM  SHARMA</t>
  </si>
  <si>
    <t>R0000125</t>
  </si>
  <si>
    <t>RAVINDRA JAYNARAYAN  SONI</t>
  </si>
  <si>
    <t>R0000127</t>
  </si>
  <si>
    <t>REETA  BIYANI</t>
  </si>
  <si>
    <t>R0000129</t>
  </si>
  <si>
    <t>REKHA  NARENDRAN</t>
  </si>
  <si>
    <t>R0000132</t>
  </si>
  <si>
    <t>ROSHANLAL ZUMBERLAL MEHAR</t>
  </si>
  <si>
    <t>R0000305</t>
  </si>
  <si>
    <t>RAJAN  MINOCHA</t>
  </si>
  <si>
    <t>R0000307</t>
  </si>
  <si>
    <t>RAJENDRA PRASAD  BAISWARA</t>
  </si>
  <si>
    <t>R0000311</t>
  </si>
  <si>
    <t>RAJENDRA PRASAD  SANGHI</t>
  </si>
  <si>
    <t>R0000313</t>
  </si>
  <si>
    <t>RAJESH  AGARWAL</t>
  </si>
  <si>
    <t>R0000316</t>
  </si>
  <si>
    <t>RAJESH R  LADDHA</t>
  </si>
  <si>
    <t>R0000317</t>
  </si>
  <si>
    <t>RAJESH  KUMAR</t>
  </si>
  <si>
    <t>R0000324</t>
  </si>
  <si>
    <t>RAMAGAURI KANTILAL  BHAYANI</t>
  </si>
  <si>
    <t>R0000325</t>
  </si>
  <si>
    <t>RAMAKRISHNA NAMDEORAO  LONDHE</t>
  </si>
  <si>
    <t>R0000326</t>
  </si>
  <si>
    <t>RAMAMOHANA RAO  APPALA</t>
  </si>
  <si>
    <t>R0000328</t>
  </si>
  <si>
    <t>RAMESHWAR  DHOOT</t>
  </si>
  <si>
    <t>R0000329</t>
  </si>
  <si>
    <t>RAMESHCHANDRA  SONI</t>
  </si>
  <si>
    <t>R0000330</t>
  </si>
  <si>
    <t>RAMESH RAMGOPAL  JAISWAL</t>
  </si>
  <si>
    <t>R0000332</t>
  </si>
  <si>
    <t>RAMHARI INVESTMENTS  PVT LTD</t>
  </si>
  <si>
    <t>R0000333</t>
  </si>
  <si>
    <t>RAMNARAYAN  JAISWAL</t>
  </si>
  <si>
    <t>R0000334</t>
  </si>
  <si>
    <t>RAMRAO  DESHMUKH</t>
  </si>
  <si>
    <t>R0000337</t>
  </si>
  <si>
    <t>RAVINDRA PAL  DHAWAN</t>
  </si>
  <si>
    <t>R0000338</t>
  </si>
  <si>
    <t>REKHA LAXMAN  MOGHE</t>
  </si>
  <si>
    <t>R0000340</t>
  </si>
  <si>
    <t>REKHA  TAORI</t>
  </si>
  <si>
    <t>R0000343</t>
  </si>
  <si>
    <t>ROCHINAM TILOKCHAND  GIDWANI</t>
  </si>
  <si>
    <t>S0000105</t>
  </si>
  <si>
    <t>SANDHYA CHANDRAKANT  RATHI</t>
  </si>
  <si>
    <t>S0000107</t>
  </si>
  <si>
    <t>SANGEETA RAVINDRA  SONI</t>
  </si>
  <si>
    <t>S0000108</t>
  </si>
  <si>
    <t>SANGEETA ASHOK  BORA</t>
  </si>
  <si>
    <t>S0000110</t>
  </si>
  <si>
    <t>SANJAY RAMASWAROOP  GANDHI</t>
  </si>
  <si>
    <t>S0000116</t>
  </si>
  <si>
    <t>SATISH MOHANLAL  TAORI</t>
  </si>
  <si>
    <t>S0000117</t>
  </si>
  <si>
    <t>SATNAMKAUR KARNAILSINGH  SAINI</t>
  </si>
  <si>
    <t>S0000120</t>
  </si>
  <si>
    <t>SEEMA VINOD  JAIN</t>
  </si>
  <si>
    <t>S0000124</t>
  </si>
  <si>
    <t>SHARAD LAXMINARAYAN NAVANDAR</t>
  </si>
  <si>
    <t>S0000125</t>
  </si>
  <si>
    <t>SHASHIKALA RAMESH  BAHETI</t>
  </si>
  <si>
    <t>S0000131</t>
  </si>
  <si>
    <t>SHOBHA RAMESH  MALANI</t>
  </si>
  <si>
    <t>S0000135</t>
  </si>
  <si>
    <t>SHYAMASUNDER LAXMINARAYAN  RATHI</t>
  </si>
  <si>
    <t>S0000138</t>
  </si>
  <si>
    <t>SUBHASHCHANDRA SHAMRAO  WAGHOLIKAR</t>
  </si>
  <si>
    <t>S0000140</t>
  </si>
  <si>
    <t>SUBHASH DAMODHAR  RATHI</t>
  </si>
  <si>
    <t>S0000142</t>
  </si>
  <si>
    <t>SUKHAVINDERSINGH JARNAILSINGH  SAINI</t>
  </si>
  <si>
    <t>S0000144</t>
  </si>
  <si>
    <t>SUMAN SHARAD  NAVANDAR</t>
  </si>
  <si>
    <t>S0000145</t>
  </si>
  <si>
    <t>SUMANT RAMESH  MALANI</t>
  </si>
  <si>
    <t>S0000147</t>
  </si>
  <si>
    <t>SUNANDA SHRIRAM  HOLANI</t>
  </si>
  <si>
    <t>S0000148</t>
  </si>
  <si>
    <t>SUNANDA SURYAKANT  MUNOTH</t>
  </si>
  <si>
    <t>S0000151</t>
  </si>
  <si>
    <t>SURYAKANT GOKULDAS  SOMANI</t>
  </si>
  <si>
    <t>S0000152</t>
  </si>
  <si>
    <t>SUSHAMA NITIN  SONI</t>
  </si>
  <si>
    <t>S0000155</t>
  </si>
  <si>
    <t>SUSHILKAUR GURMITSINGH  SAINI</t>
  </si>
  <si>
    <t>S0000158</t>
  </si>
  <si>
    <t>SAMEER JUGALKISHORE  DHOOT</t>
  </si>
  <si>
    <t>S0000164</t>
  </si>
  <si>
    <t>SATNAMKAUR KARANSINGH  SAINI</t>
  </si>
  <si>
    <t>S0000167</t>
  </si>
  <si>
    <t>SHIVKUMAR PURSHOTTAMDAS  AGRAWAL</t>
  </si>
  <si>
    <t>S0000170</t>
  </si>
  <si>
    <t>S0000308</t>
  </si>
  <si>
    <t>SANDEEP S  DENGLA</t>
  </si>
  <si>
    <t>S0000316</t>
  </si>
  <si>
    <t>SANJAY D  ARORA</t>
  </si>
  <si>
    <t>S0000319</t>
  </si>
  <si>
    <t>SANJAY RAMSWARUP  GANDHI</t>
  </si>
  <si>
    <t>S0000320</t>
  </si>
  <si>
    <t>SANJAY SANCHALAL  CHHAJED</t>
  </si>
  <si>
    <t>S0000322</t>
  </si>
  <si>
    <t>SANJEEV KUMAR  LIHALA</t>
  </si>
  <si>
    <t>S0000323</t>
  </si>
  <si>
    <t>SANJEEV  SAOJI</t>
  </si>
  <si>
    <t>S0000327</t>
  </si>
  <si>
    <t>SANTOSHDEVI  AGRAWAL</t>
  </si>
  <si>
    <t>S0000332</t>
  </si>
  <si>
    <t>SARBJIT SINGH  WIRK</t>
  </si>
  <si>
    <t>S0000334</t>
  </si>
  <si>
    <t>SARITA  AGARWAL</t>
  </si>
  <si>
    <t>S0000336</t>
  </si>
  <si>
    <t>SARLADEVI  GUPTA</t>
  </si>
  <si>
    <t>S0000342</t>
  </si>
  <si>
    <t>SATYABHAMA  AGARWAL</t>
  </si>
  <si>
    <t>S0000344</t>
  </si>
  <si>
    <t>SAVITA  AGRAWAL</t>
  </si>
  <si>
    <t>S0000346</t>
  </si>
  <si>
    <t>SAWARMAL S  DAINGLA</t>
  </si>
  <si>
    <t>S0000347</t>
  </si>
  <si>
    <t>SHABBIR  BOHRA</t>
  </si>
  <si>
    <t>S0000356</t>
  </si>
  <si>
    <t>SHASHI  AGRAWAL</t>
  </si>
  <si>
    <t>S0000359</t>
  </si>
  <si>
    <t>SHEETAL  DHOOT</t>
  </si>
  <si>
    <t>S0000360</t>
  </si>
  <si>
    <t>SHEHNAZ  BOHRA</t>
  </si>
  <si>
    <t>S0000361</t>
  </si>
  <si>
    <t>SHIMLA  AGRAWAL</t>
  </si>
  <si>
    <t>S0000363</t>
  </si>
  <si>
    <t>SHIVBHAGWAN  LAHOTI</t>
  </si>
  <si>
    <t>S0000364</t>
  </si>
  <si>
    <t>SHIVNARAYAN  JAISWAL</t>
  </si>
  <si>
    <t>S0000365</t>
  </si>
  <si>
    <t>SHIVSHANKAR  AGRAWAL</t>
  </si>
  <si>
    <t>S0000371</t>
  </si>
  <si>
    <t>SHUJKAT AHMED  SIDDIQUI</t>
  </si>
  <si>
    <t>S0000372</t>
  </si>
  <si>
    <t>SHYAM  RATHI</t>
  </si>
  <si>
    <t>S0000373</t>
  </si>
  <si>
    <t>SHYAM  AGRAWAL</t>
  </si>
  <si>
    <t>S0000377</t>
  </si>
  <si>
    <t>SITA DEVI  BANSAL</t>
  </si>
  <si>
    <t>S0000379</t>
  </si>
  <si>
    <t>SITALDAS TILOKCHAND  GIDWANI</t>
  </si>
  <si>
    <t>S0000387</t>
  </si>
  <si>
    <t>SUDESH  SHARMA</t>
  </si>
  <si>
    <t>S0000389</t>
  </si>
  <si>
    <t>SUKHVINDERSINGH  CHANNE</t>
  </si>
  <si>
    <t>S0000390</t>
  </si>
  <si>
    <t>SUMANBAI  LADE</t>
  </si>
  <si>
    <t>S0000394</t>
  </si>
  <si>
    <t>SUNIL  BANTHIA</t>
  </si>
  <si>
    <t>S0000396</t>
  </si>
  <si>
    <t>SURENDER SINGH  BEANT SINGH HODA</t>
  </si>
  <si>
    <t>S0000399</t>
  </si>
  <si>
    <t>SURESH  TAORI</t>
  </si>
  <si>
    <t>S0000401</t>
  </si>
  <si>
    <t>SURINDER KAUR SAINI</t>
  </si>
  <si>
    <t>S0000404</t>
  </si>
  <si>
    <t>SURYAKANT V  KORADIA</t>
  </si>
  <si>
    <t>S0000409</t>
  </si>
  <si>
    <t>SUSHILA  AGARWAL</t>
  </si>
  <si>
    <t>S0000415</t>
  </si>
  <si>
    <t>SHARDA PAPER  PRODUCTS PVT LTD</t>
  </si>
  <si>
    <t>T0000306</t>
  </si>
  <si>
    <t>TUSHAR K  KOYA</t>
  </si>
  <si>
    <t>U0000101</t>
  </si>
  <si>
    <t>UMESH RAMNARAYAN SHARMA</t>
  </si>
  <si>
    <t>V0000104</t>
  </si>
  <si>
    <t>VIJAYALAXMI  NARENDRAN</t>
  </si>
  <si>
    <t>V0000113</t>
  </si>
  <si>
    <t>VISHAL PADAMKUMAR  GANGWAL</t>
  </si>
  <si>
    <t>V0000304</t>
  </si>
  <si>
    <t>VASANT MOTIRAM  BARDE</t>
  </si>
  <si>
    <t>V0000305</t>
  </si>
  <si>
    <t>VASANTRAO  GIRDE</t>
  </si>
  <si>
    <t>V0000308</t>
  </si>
  <si>
    <t>VERONICA JOHN  FERREIRA</t>
  </si>
  <si>
    <t>V0000310</t>
  </si>
  <si>
    <t>VIDYA WASANT  GADKAR</t>
  </si>
  <si>
    <t>V0000312</t>
  </si>
  <si>
    <t>VIJAY  BAJAJ</t>
  </si>
  <si>
    <t>V0000314</t>
  </si>
  <si>
    <t>VIJAYA  BHANSALI</t>
  </si>
  <si>
    <t>V0000317</t>
  </si>
  <si>
    <t>VIJAY KIRAN  CHAOJI</t>
  </si>
  <si>
    <t>V0000320</t>
  </si>
  <si>
    <t>VIJAYA  SHETE</t>
  </si>
  <si>
    <t>V0000322</t>
  </si>
  <si>
    <t>VIJAYKUMAR  DESHPANDE</t>
  </si>
  <si>
    <t>V0000323</t>
  </si>
  <si>
    <t>VIKAS  SHETE</t>
  </si>
  <si>
    <t>V0000326</t>
  </si>
  <si>
    <t>VIMALKUMAR  AGRAWAL</t>
  </si>
  <si>
    <t>V0000328</t>
  </si>
  <si>
    <t>VINAYKUMAR S  VAHORA</t>
  </si>
  <si>
    <t>V0000330</t>
  </si>
  <si>
    <t>VINAY JANARDAN  VAITY</t>
  </si>
  <si>
    <t>V0000332</t>
  </si>
  <si>
    <t>VINOD M  KANANI</t>
  </si>
  <si>
    <t>V0000333</t>
  </si>
  <si>
    <t>VINODKUMAR  AGRAWAL</t>
  </si>
  <si>
    <t>V0000335</t>
  </si>
  <si>
    <t>IRENDRA KUMAR  AGRAWAL</t>
  </si>
  <si>
    <t>V0000336</t>
  </si>
  <si>
    <t>VISHAL   KIRAN LAKHANI</t>
  </si>
  <si>
    <t>V0000339</t>
  </si>
  <si>
    <t>VISHNU  ASHTIKAR</t>
  </si>
  <si>
    <t>V0000342</t>
  </si>
  <si>
    <t>VINOD  GANVIR</t>
  </si>
  <si>
    <t>W0000101</t>
  </si>
  <si>
    <t>WASUDEO TRIMBAKRAO  WASANTGADKAR</t>
  </si>
  <si>
    <t>W0000301</t>
  </si>
  <si>
    <t>WASANT  BORIKAR</t>
  </si>
  <si>
    <t>Y0000303</t>
  </si>
  <si>
    <t>YASMIN  AMIN</t>
  </si>
  <si>
    <t>Y0000304</t>
  </si>
  <si>
    <t>YESHAWANT  FUKE</t>
  </si>
  <si>
    <t>Y0000307</t>
  </si>
  <si>
    <t>YOGESH  CHUGH</t>
  </si>
  <si>
    <t>Y0000308</t>
  </si>
  <si>
    <t>YUG  VARMA</t>
  </si>
  <si>
    <t>Z0000301</t>
  </si>
  <si>
    <t>ZAKIUDDING  SAIFEE</t>
  </si>
  <si>
    <t>Z0000302</t>
  </si>
  <si>
    <t>ZARINA  MEMON</t>
  </si>
  <si>
    <t>Z0000303</t>
  </si>
  <si>
    <t>ZIA UL  HASAN</t>
  </si>
  <si>
    <t>Z0000304</t>
  </si>
  <si>
    <t>ZOHER  SABIR</t>
  </si>
  <si>
    <t>HARDOLI PAPER MILLS LTD,</t>
  </si>
  <si>
    <t>RAW MATERIAL PURCHASE,CONSUMPTION &amp; CLOSING STOCK AS ON 31-03-2023</t>
  </si>
  <si>
    <t>S.R.NO.</t>
  </si>
  <si>
    <t>OPENING STOCK</t>
  </si>
  <si>
    <t>PURCHASE</t>
  </si>
  <si>
    <t>CONSUMPTION</t>
  </si>
  <si>
    <t>CLOSING STOCK</t>
  </si>
  <si>
    <t>HARDOLI PAPER MILLS LTD.,</t>
  </si>
  <si>
    <t>QTY</t>
  </si>
  <si>
    <t>RATE</t>
  </si>
  <si>
    <t>AMOUNT</t>
  </si>
  <si>
    <t>FREIGHT</t>
  </si>
  <si>
    <t>A)</t>
  </si>
  <si>
    <t>WASTE KRAFT (LOCAL)</t>
  </si>
  <si>
    <t>WP IMPORTED</t>
  </si>
  <si>
    <t>B)</t>
  </si>
  <si>
    <t>COLOUR RECORD</t>
  </si>
  <si>
    <t>Date</t>
  </si>
  <si>
    <t>Import Qty</t>
  </si>
  <si>
    <t>Carrying &amp; Forwarding</t>
  </si>
  <si>
    <t>Other</t>
  </si>
  <si>
    <t>Total Cost</t>
  </si>
  <si>
    <t>Rate/ Ton</t>
  </si>
  <si>
    <t>Cl. Stock</t>
  </si>
  <si>
    <t>Cl. Stock Value</t>
  </si>
  <si>
    <t>Difference</t>
  </si>
  <si>
    <t>C)</t>
  </si>
  <si>
    <t>SUPERIOR KRAFT (OCC)</t>
  </si>
  <si>
    <t xml:space="preserve">TOTAL </t>
  </si>
  <si>
    <t xml:space="preserve"> TRASIT OCC </t>
  </si>
  <si>
    <t>TOTAL (A+B+C)</t>
  </si>
  <si>
    <t>D)</t>
  </si>
  <si>
    <t>PACKING MATRIAL</t>
  </si>
  <si>
    <t>E)</t>
  </si>
  <si>
    <t>CHEMICAL</t>
  </si>
  <si>
    <t>F)</t>
  </si>
  <si>
    <t>COAL</t>
  </si>
  <si>
    <t>G)</t>
  </si>
  <si>
    <t xml:space="preserve">RICE HUSK </t>
  </si>
  <si>
    <t>TOTAL (A+B+C+D+E+F+G)</t>
  </si>
  <si>
    <t>H)</t>
  </si>
  <si>
    <t>FINISHED GOODS</t>
  </si>
  <si>
    <t>I)</t>
  </si>
  <si>
    <t>STORE &amp; SPARES</t>
  </si>
  <si>
    <t>GRAND TOTAL(A:I )</t>
  </si>
  <si>
    <t>WASTE PAPER</t>
  </si>
  <si>
    <t>As  Per Tally</t>
  </si>
  <si>
    <t>As per Working</t>
  </si>
  <si>
    <t>diff</t>
  </si>
  <si>
    <t>COAL Purchase</t>
  </si>
  <si>
    <t>Hardoli Paper Mills Limited</t>
  </si>
  <si>
    <t>bookcd</t>
  </si>
  <si>
    <t>bookdes</t>
  </si>
  <si>
    <t>accd</t>
  </si>
  <si>
    <t>acname</t>
  </si>
  <si>
    <t>trcurcd</t>
  </si>
  <si>
    <t>subldcd</t>
  </si>
  <si>
    <t>S.No.</t>
  </si>
  <si>
    <t>Repayment</t>
  </si>
  <si>
    <t>Opening</t>
  </si>
  <si>
    <t>&lt; 1 Year</t>
  </si>
  <si>
    <t>&gt; 1 Year</t>
  </si>
  <si>
    <t>AP</t>
  </si>
  <si>
    <t>Amol Pharma</t>
  </si>
  <si>
    <t>200215</t>
  </si>
  <si>
    <t>Staff Loan</t>
  </si>
  <si>
    <t>RS</t>
  </si>
  <si>
    <t>AP/002</t>
  </si>
  <si>
    <t>AP/035</t>
  </si>
  <si>
    <t>SURESH KUMAR SAHU</t>
  </si>
  <si>
    <t>Staff Loan Repayment Schdule From 01.04.2022 to 31.01.2023</t>
  </si>
  <si>
    <t>Employee Name</t>
  </si>
  <si>
    <t>Bholanath Mitra</t>
  </si>
  <si>
    <t>Chandrashekhar Japulkar</t>
  </si>
  <si>
    <t>Dilipkumar Patel</t>
  </si>
  <si>
    <t>Naresh Charde</t>
  </si>
  <si>
    <t>CLOSING STOCK VALUATION AS ON 31/03/2023</t>
  </si>
  <si>
    <t>Tabiea General Trading LLC</t>
  </si>
  <si>
    <t>Sun Trade FZE.</t>
  </si>
  <si>
    <t>Melosch Export GmBH</t>
  </si>
  <si>
    <t>CellMark</t>
  </si>
  <si>
    <t>Hardoli  Paper  Mills  Ltd</t>
  </si>
  <si>
    <t>Valuation as  per cost</t>
  </si>
  <si>
    <t>Raw Material Consumption</t>
  </si>
  <si>
    <t xml:space="preserve">Production  </t>
  </si>
  <si>
    <t>Excluded</t>
  </si>
  <si>
    <t>Overheads</t>
  </si>
  <si>
    <t>Amount</t>
  </si>
  <si>
    <t xml:space="preserve">Raw Material Consumption </t>
  </si>
  <si>
    <t>Salary  &amp; Wages</t>
  </si>
  <si>
    <t>Incentive on Power Consumption</t>
  </si>
  <si>
    <t>Security  Service  Charges</t>
  </si>
  <si>
    <t>Stores  &amp;  Spares  Consumed</t>
  </si>
  <si>
    <t>Packing  Material Consumed</t>
  </si>
  <si>
    <t>Repair  &amp;  Maint - Machinery</t>
  </si>
  <si>
    <t>Factory  Expenses</t>
  </si>
  <si>
    <t>Waste paper Fedding Charges</t>
  </si>
  <si>
    <t>Administration Cost</t>
  </si>
  <si>
    <t>Cost /MT</t>
  </si>
  <si>
    <t>Total Cost/MT</t>
  </si>
  <si>
    <t xml:space="preserve">Cl. Stock </t>
  </si>
  <si>
    <t>Valuation at cost</t>
  </si>
  <si>
    <t>Net Realisable Value</t>
  </si>
  <si>
    <t>Cost or NRV whichever is  lower</t>
  </si>
  <si>
    <t>Market Price</t>
  </si>
  <si>
    <t>Q4 2022-23</t>
  </si>
  <si>
    <t>18BF</t>
  </si>
  <si>
    <t>18BF (GY)</t>
  </si>
  <si>
    <t>16BF</t>
  </si>
  <si>
    <t>20BF</t>
  </si>
  <si>
    <t>20BF (GY)</t>
  </si>
  <si>
    <t>22BF</t>
  </si>
  <si>
    <t>22BF (GY)</t>
  </si>
  <si>
    <t>24BF</t>
  </si>
  <si>
    <t>24BF (GY)</t>
  </si>
  <si>
    <t>Net Realizable Value</t>
  </si>
  <si>
    <t>FINANCIAL YEAR 2022-23</t>
  </si>
  <si>
    <t>Computation Of Working Capital</t>
  </si>
  <si>
    <t>Current Assets</t>
  </si>
  <si>
    <t>Current Liabilities</t>
  </si>
  <si>
    <t>Working Capital</t>
  </si>
  <si>
    <t>Capital &amp; Other Reserves</t>
  </si>
  <si>
    <t>PPE</t>
  </si>
  <si>
    <t>Other Non-Current Asset</t>
  </si>
  <si>
    <t>Non-Current Assets</t>
  </si>
  <si>
    <t>Loan</t>
  </si>
  <si>
    <t>Details of Capital Advance as on 31-03-2023</t>
  </si>
  <si>
    <t>Vendor Name</t>
  </si>
  <si>
    <t>Date of Advance</t>
  </si>
  <si>
    <t xml:space="preserve">Amt of Advance </t>
  </si>
  <si>
    <t>Amt of Bill / PO</t>
  </si>
  <si>
    <t>Contingent Liability</t>
  </si>
  <si>
    <t>Whether Purchase Order or Quotation received for which the payment is received…?</t>
  </si>
  <si>
    <t>HARDOLI PAPER MILLS LTD.</t>
  </si>
  <si>
    <t>IPS CLAIM from F.Y. 2008-09 to 2019-20, 2020-21, 2021-22, 2022-23</t>
  </si>
  <si>
    <t>AS PER SANCTION LETTER</t>
  </si>
  <si>
    <t>AS PER BOOKS</t>
  </si>
  <si>
    <t>Financial Years</t>
  </si>
  <si>
    <t xml:space="preserve">Date </t>
  </si>
  <si>
    <t>Admissible IPS Sanction</t>
  </si>
  <si>
    <t>85% IPS Claim Received</t>
  </si>
  <si>
    <t xml:space="preserve">Closing Balance Amount </t>
  </si>
  <si>
    <t>Dated</t>
  </si>
  <si>
    <t>Admissible IPS Provision</t>
  </si>
  <si>
    <t>Received As per Books</t>
  </si>
  <si>
    <t>Closing Balance Amount</t>
  </si>
  <si>
    <t>F. Y. 2008-09</t>
  </si>
  <si>
    <t>F. Y. 2009-10</t>
  </si>
  <si>
    <t>F. Y. 2010-11</t>
  </si>
  <si>
    <t>F. Y. 2011-12</t>
  </si>
  <si>
    <t>F. Y. 2012-13</t>
  </si>
  <si>
    <t>F. Y. 2013-14</t>
  </si>
  <si>
    <t>F. Y. 2014-15</t>
  </si>
  <si>
    <t>F. Y. 2015-16</t>
  </si>
  <si>
    <t>F. Y. 2016-17_Rem</t>
  </si>
  <si>
    <t>F. Y. 2016-17</t>
  </si>
  <si>
    <t>F. Y. 2017-18_Vat</t>
  </si>
  <si>
    <t>GST Act July-2017</t>
  </si>
  <si>
    <t>F. Y. 2017-18_GST</t>
  </si>
  <si>
    <t>F. Y. 2018-19</t>
  </si>
  <si>
    <t>F. Y. 2019-20</t>
  </si>
  <si>
    <t>F. Y. 2020-21</t>
  </si>
  <si>
    <t>F. Y. 2021-22</t>
  </si>
  <si>
    <t>TOTAL</t>
  </si>
  <si>
    <t>As per Sanction letter</t>
  </si>
  <si>
    <t>As per Books</t>
  </si>
  <si>
    <t>Admissible IPS Claimed As per Sanction Letter</t>
  </si>
  <si>
    <t>Admissible IPS Claimed as per Books</t>
  </si>
  <si>
    <t>IPS Claim Received 85% As per Sanction letter</t>
  </si>
  <si>
    <t>IPS Claimed Received as per Books</t>
  </si>
  <si>
    <t>Remaining Balance  (Closing Balance 31/08/2022)</t>
  </si>
  <si>
    <t xml:space="preserve">Differences </t>
  </si>
  <si>
    <t>Differences:</t>
  </si>
  <si>
    <t>Custom</t>
  </si>
  <si>
    <t>Promoter Name</t>
  </si>
  <si>
    <t>Gaurav Anilkumar Lakhotiya</t>
  </si>
  <si>
    <t>NOTES TO FINANCIAL STATEMENT FOR THE YEAR ENDED 31ST MARCH, 2023</t>
  </si>
  <si>
    <t>Mrs. Garima Maheshwari</t>
  </si>
  <si>
    <t>Purchase of Husk</t>
  </si>
  <si>
    <t>Mrs Garima Maheshwari</t>
  </si>
  <si>
    <t>16BF (GY)</t>
  </si>
  <si>
    <t>Rate 1</t>
  </si>
  <si>
    <t>Rate 2</t>
  </si>
  <si>
    <t>Rate 3</t>
  </si>
  <si>
    <t>Average</t>
  </si>
  <si>
    <t>Loan Amount as on 31.03.2023</t>
  </si>
  <si>
    <t>Rate 4</t>
  </si>
  <si>
    <t>Weight (Kg)</t>
  </si>
  <si>
    <t>Year Ended March 31, 2022 (₹)</t>
  </si>
  <si>
    <t>Year Ended March 31, 2021 (₹)</t>
  </si>
  <si>
    <t>Rate</t>
  </si>
  <si>
    <t>Sales of Production Qty</t>
  </si>
  <si>
    <t>Changes in inventories of finished goods,</t>
  </si>
  <si>
    <t>Manufacturing Expenses</t>
  </si>
  <si>
    <t>Cost of Production</t>
  </si>
  <si>
    <t>Gross Profit</t>
  </si>
  <si>
    <t>Net Profit Before Tax</t>
  </si>
  <si>
    <t>(1) MAT credit Entilement</t>
  </si>
  <si>
    <t>(2) Deferred tax</t>
  </si>
  <si>
    <t>PROFIT PER MT CALCULATION FOR THE YEAR ENDED ON 31ST MARCH, 2023</t>
  </si>
  <si>
    <t>Year Ended March 31, 2023 (₹)</t>
  </si>
  <si>
    <t>Reconciliation of Profit as per PL and cost sheet</t>
  </si>
  <si>
    <t>Profit as per Statement of Profit &amp; Loss</t>
  </si>
  <si>
    <t>Profit as per Cost sheet</t>
  </si>
  <si>
    <t>Interest income</t>
  </si>
  <si>
    <t>00001135</t>
  </si>
  <si>
    <t>NAVDEEP SINGH SAINI</t>
  </si>
  <si>
    <t>1201060004805901</t>
  </si>
  <si>
    <t>1201060100019352</t>
  </si>
  <si>
    <t>Shrawan Kumar Ramlal Malu</t>
  </si>
  <si>
    <t>1201090006747574</t>
  </si>
  <si>
    <t>SHARAD LAXMINARAYAN NAVANDAR .</t>
  </si>
  <si>
    <t>1201090007185517</t>
  </si>
  <si>
    <t>SHYAM SOHANLAL AGRAWAL .</t>
  </si>
  <si>
    <t>1203000000525645</t>
  </si>
  <si>
    <t>1203600000007470</t>
  </si>
  <si>
    <t>DEEPAK SURESHCHANDRA KHANDELWAL</t>
  </si>
  <si>
    <t>1203600007946466</t>
  </si>
  <si>
    <t>1601430104288218</t>
  </si>
  <si>
    <t>WALTER DSOUZA</t>
  </si>
  <si>
    <t>IN300343/11384044</t>
  </si>
  <si>
    <t>MITESHKUMAR PRAKASHBHAI VAGHELA</t>
  </si>
  <si>
    <t>IN301774/21078683</t>
  </si>
  <si>
    <t>SHYAMSUNDER LAXMINARAYAN RATHI</t>
  </si>
  <si>
    <t>IN301862/60709967</t>
  </si>
  <si>
    <t>IN303116/14272424</t>
  </si>
  <si>
    <t>MUSTAFA SAIFUDDIN COCHINWALA</t>
  </si>
  <si>
    <t>IN303116/14276477</t>
  </si>
  <si>
    <t>KHUZEMA ZAKIUDDIN SAIFEE</t>
  </si>
  <si>
    <t>Shares as on 31/3/2022</t>
  </si>
  <si>
    <t>List of shareholders on 31/3/2022 and 31/3/2023</t>
  </si>
  <si>
    <t>Name</t>
  </si>
  <si>
    <t>Folio No.</t>
  </si>
  <si>
    <t>Closing Shares as on 31/3/2023</t>
  </si>
  <si>
    <t>Actual  Value (Rs.)</t>
  </si>
  <si>
    <t>Tax Value (Rs.)</t>
  </si>
  <si>
    <t>Difference on account of Depreciation</t>
  </si>
  <si>
    <t>WDV as per Companies Act (excluding Revaluation reserve)</t>
  </si>
  <si>
    <t>WDV as per Income Tax Act</t>
  </si>
  <si>
    <t xml:space="preserve">                  Deferred Tax Liability</t>
  </si>
  <si>
    <t>Provision for Bonus</t>
  </si>
  <si>
    <t>Provision for Gratuity</t>
  </si>
  <si>
    <t>Provision for Leave encashment</t>
  </si>
  <si>
    <t>Business Losses</t>
  </si>
  <si>
    <t>Deferred Tax Asset</t>
  </si>
  <si>
    <t>Total Deferred Tax Asset</t>
  </si>
  <si>
    <t>Total Deferred Tax Liability</t>
  </si>
  <si>
    <t>Opening Balance of Deferred Tax Liability</t>
  </si>
  <si>
    <t>Deferred Tax Assets for the year ended 31.03.21</t>
  </si>
  <si>
    <t>Clubbed Entry</t>
  </si>
  <si>
    <t xml:space="preserve">Profit &amp; Loss A/c                                   </t>
  </si>
  <si>
    <t xml:space="preserve"> Dr.</t>
  </si>
  <si>
    <t xml:space="preserve">         To Deferred Tax Liability</t>
  </si>
  <si>
    <t>AY 2023-24</t>
  </si>
  <si>
    <t>ADVANCE TO SUPPLIER 01-04-2022 TO 31-03-2023</t>
  </si>
  <si>
    <t>Sr. No.</t>
  </si>
  <si>
    <t>Party Name</t>
  </si>
  <si>
    <t>Remarks</t>
  </si>
  <si>
    <t>K/A PERSON</t>
  </si>
  <si>
    <t>CONTAINER CORPN. OF INDIA LTD.</t>
  </si>
  <si>
    <t>Extra Container Charges Debit Note</t>
  </si>
  <si>
    <t>Mr. Kunal</t>
  </si>
  <si>
    <t>NAV DURGA BOILER &amp; EQUIPMENTS</t>
  </si>
  <si>
    <t>Boiler work advance</t>
  </si>
  <si>
    <t>ULTRAWEATHER ENGINEERING SERVICES</t>
  </si>
  <si>
    <t>Ductible Split AC for Boiler</t>
  </si>
  <si>
    <t>SURYODAY TEXTILE FACTORY</t>
  </si>
  <si>
    <t>Excess paid received on 01.04.2023</t>
  </si>
  <si>
    <t>--</t>
  </si>
  <si>
    <t>VIRENDRA PRASAD YADAV</t>
  </si>
  <si>
    <t>Help done to Contractos labour (Laxmikant Rai's) treatment due to accidental case at outside.</t>
  </si>
  <si>
    <t>Mr. Suryakant</t>
  </si>
  <si>
    <t>METROPOLITAN STOCK EXCHANGE INDIA</t>
  </si>
  <si>
    <t>Short deduction of TDS now rectify</t>
  </si>
  <si>
    <t>Mrs.Jayashree</t>
  </si>
  <si>
    <t>MAHARASHTRA STATE MINING CORPN. LTD.</t>
  </si>
  <si>
    <t>Advance against Coal Purchase D.O.</t>
  </si>
  <si>
    <t>Mr. Neelkanth</t>
  </si>
  <si>
    <t>TERM LOAN DETAILS</t>
  </si>
  <si>
    <t>Sanction Amount / Op Balance</t>
  </si>
  <si>
    <t>Principle O/s</t>
  </si>
  <si>
    <t>Interest Exp</t>
  </si>
  <si>
    <t>Interest Payable</t>
  </si>
  <si>
    <t>Principle Payment</t>
  </si>
  <si>
    <t>Commitment</t>
  </si>
  <si>
    <t>Short Term Liability</t>
  </si>
  <si>
    <t>Long Term Outstandig</t>
  </si>
  <si>
    <t>Repyment Started from June 2021</t>
  </si>
  <si>
    <t>Repayment Schedule - WCTL GECL 4 - 73 Lacs - A/c No. 40590939457</t>
  </si>
  <si>
    <t>Repayment Schedule - Term Loan- 775 Lacs - A/c No. 40667225452</t>
  </si>
  <si>
    <t>Principle Amount</t>
  </si>
  <si>
    <t>Commitment Charges</t>
  </si>
  <si>
    <t>Balance</t>
  </si>
  <si>
    <t>Addition</t>
  </si>
  <si>
    <t>Payment</t>
  </si>
  <si>
    <t>Repayment Schedule - WCTL GECL 1 - 146 Lacs - A/c No. 39366011281</t>
  </si>
  <si>
    <t>Interest Payment</t>
  </si>
  <si>
    <t>EMI</t>
  </si>
  <si>
    <t>Account No. : 40590939457</t>
  </si>
  <si>
    <t>Due Date</t>
  </si>
  <si>
    <t>Projected Interest</t>
  </si>
  <si>
    <t>Principal Due</t>
  </si>
  <si>
    <t>Total (Current)</t>
  </si>
  <si>
    <t>Account No. : 40667225452</t>
  </si>
  <si>
    <t>Amount of Loan : Rs 73 Lakhs</t>
  </si>
  <si>
    <t>Amount of Loan : Rs 775 Lakhs</t>
  </si>
  <si>
    <t>Account No. : 39366011281</t>
  </si>
  <si>
    <t>Amount of Loan : Rs 146 Lakhs</t>
  </si>
  <si>
    <t xml:space="preserve">Additional Term Loan (1.40 Cr) </t>
  </si>
  <si>
    <t>Repayment will start from December 23. Hence not short term principle amount payable for March 23</t>
  </si>
  <si>
    <t>Repayment Schedule - WCTL GECL 1 - 140 Lacs - A/c No. 41345851422</t>
  </si>
  <si>
    <t>(a) CWIP ageing schedule as on March 31, 2023</t>
  </si>
  <si>
    <t>(a) CWIP ageing schedule as on March 31, 2022</t>
  </si>
  <si>
    <t>2020-21</t>
  </si>
  <si>
    <t>2019-20</t>
  </si>
  <si>
    <t>&lt;1</t>
  </si>
  <si>
    <t>1 to 2</t>
  </si>
  <si>
    <t>2 to 3</t>
  </si>
  <si>
    <t>GST ANNUAL RETURN CHARGES</t>
  </si>
  <si>
    <t>Metropolitan Stock Exchange of India(MSEI)</t>
  </si>
  <si>
    <t>Omprakash D. Rathi (Remuneration)</t>
  </si>
  <si>
    <t>OTHER EQUIPMENTS</t>
  </si>
  <si>
    <t>Penalty on TDS</t>
  </si>
  <si>
    <t>GST Annual Return Fees Payable</t>
  </si>
  <si>
    <t>GST Annual Return Fees</t>
  </si>
  <si>
    <t xml:space="preserve">    (iii) Other Financial assets</t>
  </si>
  <si>
    <t>NOTE 8 : OTHER FINANCIAL ASSETS</t>
  </si>
  <si>
    <t>Anil Kumar Lakhotiya (HUF)</t>
  </si>
  <si>
    <t>Payable for Capital Goods</t>
  </si>
  <si>
    <t>31.03.2023</t>
  </si>
  <si>
    <t>Mr. Omprakash D Rathi</t>
  </si>
  <si>
    <t>Import Party</t>
  </si>
  <si>
    <t>HARDOLI PAPER MILLS LTD</t>
  </si>
  <si>
    <t>ASSESSMENT YEAR 2022-23</t>
  </si>
  <si>
    <t>ANNEXURE A</t>
  </si>
  <si>
    <t>RE: PARTICULARS OF DEPRECIATION ALLOWABLE AS PER INCOME TAX ACT</t>
  </si>
  <si>
    <t>REF : CLAUSE '18' OF FORM 3CD</t>
  </si>
  <si>
    <t>Name Of Asset</t>
  </si>
  <si>
    <t xml:space="preserve">Rate of </t>
  </si>
  <si>
    <t>W.D.V.as on</t>
  </si>
  <si>
    <t>Exchange Difference (Gain)/ Loss</t>
  </si>
  <si>
    <t>Deletions</t>
  </si>
  <si>
    <t xml:space="preserve">Depreciation </t>
  </si>
  <si>
    <t>Additional Depreciation for the Current Year</t>
  </si>
  <si>
    <t>Additional Depreciation for the Preceeding Year</t>
  </si>
  <si>
    <t>Total 
Depreciation</t>
  </si>
  <si>
    <t xml:space="preserve">W.D.V.as on </t>
  </si>
  <si>
    <t>Additional Depreciation to be carried forward</t>
  </si>
  <si>
    <t>Depren</t>
  </si>
  <si>
    <t>Before 6</t>
  </si>
  <si>
    <t>After 6</t>
  </si>
  <si>
    <t>Allowable</t>
  </si>
  <si>
    <t>Months</t>
  </si>
  <si>
    <t>BLOCK I</t>
  </si>
  <si>
    <t>Block I Total</t>
  </si>
  <si>
    <t>BLOCK II</t>
  </si>
  <si>
    <t>Block II Total</t>
  </si>
  <si>
    <t>BLOCK III</t>
  </si>
  <si>
    <t xml:space="preserve">Furniture &amp; Fixtures </t>
  </si>
  <si>
    <t>Electric Installation</t>
  </si>
  <si>
    <t>Block III Total</t>
  </si>
  <si>
    <t>BLOCK IV</t>
  </si>
  <si>
    <t>Car &amp; Motor Vehicle</t>
  </si>
  <si>
    <t>Block IV Total</t>
  </si>
  <si>
    <t>BLOCK V</t>
  </si>
  <si>
    <t>a</t>
  </si>
  <si>
    <t>b</t>
  </si>
  <si>
    <t>Plant &amp; Machinery (No Add Dep)</t>
  </si>
  <si>
    <t>c</t>
  </si>
  <si>
    <t>Pollution Control Equipment</t>
  </si>
  <si>
    <t>d</t>
  </si>
  <si>
    <t>Amount Adjusted U/s 115BAA</t>
  </si>
  <si>
    <t>Block V Total</t>
  </si>
  <si>
    <t>BLOCK VI</t>
  </si>
  <si>
    <t>Block VI Total</t>
  </si>
  <si>
    <t>Computation of additional deprecation 2020-21</t>
  </si>
  <si>
    <t>Additonal Dep.</t>
  </si>
  <si>
    <t>Before</t>
  </si>
  <si>
    <t>After</t>
  </si>
  <si>
    <t>Additonal to be carried forward</t>
  </si>
  <si>
    <t>Additional dep of last year 2019-20</t>
  </si>
  <si>
    <t>(as per details given below)</t>
  </si>
  <si>
    <t>Plant and Machiney</t>
  </si>
  <si>
    <t>01.04.2022</t>
  </si>
  <si>
    <t>Valuation of Goods in transit</t>
  </si>
  <si>
    <t>Quantity in Trnasit</t>
  </si>
  <si>
    <t>Sun Trade FZE, UAE</t>
  </si>
  <si>
    <t>Canusa Hershman Recycling Co</t>
  </si>
  <si>
    <t>Amasha Ltd</t>
  </si>
  <si>
    <t>Remondis Trade &amp; Sales GMBH</t>
  </si>
  <si>
    <t>CellMark Netherlands BV</t>
  </si>
  <si>
    <t>In Transit Value</t>
  </si>
  <si>
    <t>Invoice Amount (USD)</t>
  </si>
  <si>
    <t>Total Value in transit</t>
  </si>
  <si>
    <t>Latest Tally data considered or not in this?</t>
  </si>
  <si>
    <t>Madam has already corrected this in Tally. Revised In transit value is around 151 Lacs. But we have not considered this in our BS</t>
  </si>
  <si>
    <t>Year ended</t>
  </si>
  <si>
    <t>31st March, 2022 (₹)</t>
  </si>
  <si>
    <t>A CASH FLOW FROM OPERATING ACTIVITIES</t>
  </si>
  <si>
    <t xml:space="preserve">PROFIT BEFORE INCOME TAX </t>
  </si>
  <si>
    <t>Adjustments for:</t>
  </si>
  <si>
    <t>Other comprehensive Income - Acturial Gain / (loss)</t>
  </si>
  <si>
    <t xml:space="preserve">Depreciation, amortisation and impairment </t>
  </si>
  <si>
    <t xml:space="preserve">Net (Gain)/ Loss on disposal of property, plant and equipment </t>
  </si>
  <si>
    <t xml:space="preserve">Operating profit before working capital changes </t>
  </si>
  <si>
    <t>Advance Income Tax (A.Y. 2019-20)</t>
  </si>
  <si>
    <t>Change in operating assets and liabilities:</t>
  </si>
  <si>
    <t>Advance Income Tax (A.Y. 2020-21)</t>
  </si>
  <si>
    <t>Particular</t>
  </si>
  <si>
    <t>Closing 2020-21</t>
  </si>
  <si>
    <t>Opening 2020-21</t>
  </si>
  <si>
    <t>Difference 2020-21</t>
  </si>
  <si>
    <t>Closing 2019-20</t>
  </si>
  <si>
    <t>Opening 2019-20</t>
  </si>
  <si>
    <t>Difference  2019-20</t>
  </si>
  <si>
    <t xml:space="preserve">(Increase)/ Decrease in inventories </t>
  </si>
  <si>
    <t xml:space="preserve">(Increase)/ Decrease in trade receivables </t>
  </si>
  <si>
    <t>(Increase)/ Decrease in other financials assets</t>
  </si>
  <si>
    <t xml:space="preserve">(Increase)/ Decrease in other current assets </t>
  </si>
  <si>
    <t>(Increase)/ Decrease in other Bank Balance</t>
  </si>
  <si>
    <t>Other Bank Balance</t>
  </si>
  <si>
    <t>Provision for Income Tax (A.Y.2019-20)</t>
  </si>
  <si>
    <t xml:space="preserve">Increase/ (Decrease) in trade payables </t>
  </si>
  <si>
    <t>Trade Payable</t>
  </si>
  <si>
    <t>TDS  (A. Y. 2019-20)</t>
  </si>
  <si>
    <t>Increase/ (Decrease) in other Non Current Provisions</t>
  </si>
  <si>
    <t>Non Current Provisions</t>
  </si>
  <si>
    <t>TDS (A. Y. 2020-21)</t>
  </si>
  <si>
    <t xml:space="preserve">Increase/ (Decrease) in other financial liabilities </t>
  </si>
  <si>
    <t>Other Financial Liabilities</t>
  </si>
  <si>
    <t>TDS Excess Paid FY 15-16</t>
  </si>
  <si>
    <t xml:space="preserve">Increase/ (Decrease) in other current liabilities </t>
  </si>
  <si>
    <t xml:space="preserve">Increase/ (Decrease) in provisions </t>
  </si>
  <si>
    <t>Current Provisions</t>
  </si>
  <si>
    <t>T.C.S. (A.Y.2020-21)</t>
  </si>
  <si>
    <t xml:space="preserve">(Increase)/ Decrease in other financial assets (Non Current) </t>
  </si>
  <si>
    <t>Non Current Financial Assets</t>
  </si>
  <si>
    <t xml:space="preserve">(Increase)/ Decrease in other non-current assets </t>
  </si>
  <si>
    <t>Non Current Assets</t>
  </si>
  <si>
    <t>Provision</t>
  </si>
  <si>
    <t xml:space="preserve">Changes in Working Capital </t>
  </si>
  <si>
    <t xml:space="preserve">Cash generated from Operations </t>
  </si>
  <si>
    <t xml:space="preserve">Income taxes paid (net of refunds) </t>
  </si>
  <si>
    <t>Paid during the year</t>
  </si>
  <si>
    <t xml:space="preserve">NET CASH INFLOW GENERATED FROM OPERATING ACTIVITIES </t>
  </si>
  <si>
    <t>Other Tax Assets</t>
  </si>
  <si>
    <t>Income Tax Provision</t>
  </si>
  <si>
    <t>B CASH FLOW FROM INVESTING ACTIVITIES</t>
  </si>
  <si>
    <t>MAT adjustment</t>
  </si>
  <si>
    <t xml:space="preserve">Payment for property, plant and equipment </t>
  </si>
  <si>
    <t>MAT Credit</t>
  </si>
  <si>
    <t xml:space="preserve">Proceeds from sale of property, plant and equipment </t>
  </si>
  <si>
    <t xml:space="preserve">Payment for purchase of investments </t>
  </si>
  <si>
    <t xml:space="preserve">Payment for purchase of inter-corporate deposits placed </t>
  </si>
  <si>
    <t xml:space="preserve">(Given)/ Repayment of loans by related parties </t>
  </si>
  <si>
    <t xml:space="preserve">Interest received </t>
  </si>
  <si>
    <t xml:space="preserve">NET CASH (OUTFLOW) / INFLOW FROM INVESTING ACTIVITIES </t>
  </si>
  <si>
    <t>C CASH FLOW FROM FINANCING ACTIVITIES</t>
  </si>
  <si>
    <t xml:space="preserve">Proceeds from issuance of share capital (net of share issue expenses) </t>
  </si>
  <si>
    <t xml:space="preserve">Increase/ (Decrease) in Borrowing </t>
  </si>
  <si>
    <t>Borrowing</t>
  </si>
  <si>
    <t xml:space="preserve">Repayment of borrowings </t>
  </si>
  <si>
    <t xml:space="preserve">Interest paid </t>
  </si>
  <si>
    <t xml:space="preserve">NET CASH (OUTFLOW) / INFLOW FROM FINANCING ACTIVITIES </t>
  </si>
  <si>
    <t xml:space="preserve">D NET INCREASE / (DECREASE) IN CASH &amp; CASH EQUIVALENTS (A+B+C) </t>
  </si>
  <si>
    <t>E CASH AND CASH EQUIVALENTS AT THE BEGINNING OF THE FINANCIAL YEAR.</t>
  </si>
  <si>
    <t>F CASH AND CASH EQUIVALENTS AT END OF THE YEAR.</t>
  </si>
  <si>
    <t>The cash flow statement has been prepared under the indirect method as set out in Indian Accounting Standard (Ind AS 7) statement of cash flows.</t>
  </si>
  <si>
    <t>For DARAK AND ASSOCIATES</t>
  </si>
  <si>
    <t>FIRM REGISTRATION NO. 132818W</t>
  </si>
  <si>
    <t>OMPRAKASH RATHI - EXECUTIVE DIRECTOR</t>
  </si>
  <si>
    <t>31st March, 2023 (₹)</t>
  </si>
  <si>
    <t>Current Tax + (Current Tax Assets op - cl) + (Provision for Income tax op - cl)</t>
  </si>
  <si>
    <t xml:space="preserve">NAME                                                       </t>
  </si>
  <si>
    <t>:</t>
  </si>
  <si>
    <t>STATUS</t>
  </si>
  <si>
    <t>PUBLIC LIMITED COMPANY</t>
  </si>
  <si>
    <t>PREVIOUS YEAR</t>
  </si>
  <si>
    <t xml:space="preserve">ASSESSMENT YEAR                                 </t>
  </si>
  <si>
    <t>PAN NO.</t>
  </si>
  <si>
    <t>COMPUTATION OF INCOME</t>
  </si>
  <si>
    <t>Normal Taxation</t>
  </si>
  <si>
    <t>U/s 115BAA</t>
  </si>
  <si>
    <t>A.Y.2020-21</t>
  </si>
  <si>
    <t>Profit as per Profit and Loss Statement after extraordinary item</t>
  </si>
  <si>
    <t>ADD : DISALLOWANCE CONSIDERED SEPARATELY</t>
  </si>
  <si>
    <t>2018-19</t>
  </si>
  <si>
    <t>Depreciation as per books</t>
  </si>
  <si>
    <t xml:space="preserve">Provision for Gratuity </t>
  </si>
  <si>
    <t>Penalty on Excise Duty</t>
  </si>
  <si>
    <t>Penalty on Sales Tax</t>
  </si>
  <si>
    <t>Penalty on Service Tax</t>
  </si>
  <si>
    <t xml:space="preserve">Bonus </t>
  </si>
  <si>
    <t>Penalties</t>
  </si>
  <si>
    <t>Loss on sales of asset</t>
  </si>
  <si>
    <t>LESS : ALLOWANCE CONSIDERED SEPARATELY</t>
  </si>
  <si>
    <t>Sec 37 Disallowance</t>
  </si>
  <si>
    <t>Depreciation as per Income Tax</t>
  </si>
  <si>
    <t>CSR</t>
  </si>
  <si>
    <t>LESS : UTILISATION OF UNABSORBED DEPRECIATION</t>
  </si>
  <si>
    <t>Loss on sale of writeoff of asset</t>
  </si>
  <si>
    <t>ADD : UNABSORBED DEPRECIATION TO BE CARRIED FORWARD</t>
  </si>
  <si>
    <t>Sec 40 Disallowance</t>
  </si>
  <si>
    <t>Deposit under Group Gratuity Fund</t>
  </si>
  <si>
    <t>Sec 43B Disallowance</t>
  </si>
  <si>
    <t>Excess provision for bonus for earlier year</t>
  </si>
  <si>
    <t>Provision Of Gratuity</t>
  </si>
  <si>
    <t>Bonus paid for last year u/s 43B</t>
  </si>
  <si>
    <t>Provision of Bonus</t>
  </si>
  <si>
    <t>GROSS TOTAL INCOME</t>
  </si>
  <si>
    <t xml:space="preserve">TOTAL INCOME </t>
  </si>
  <si>
    <t>Sec 43B Disallowance Allowed</t>
  </si>
  <si>
    <t>Profit on Sale of Mutual fund</t>
  </si>
  <si>
    <t>Payment Of Gratuity Pertaining to FY2019-20</t>
  </si>
  <si>
    <t>Less:Exempt Income - u/s 10(38)</t>
  </si>
  <si>
    <t>Payment of Bonus Pertaining to FY2019-20</t>
  </si>
  <si>
    <t xml:space="preserve">Total </t>
  </si>
  <si>
    <t>Less : Set off of Losses</t>
  </si>
  <si>
    <t>Interest Calculation u/s 234C</t>
  </si>
  <si>
    <t>S. No.</t>
  </si>
  <si>
    <t>Installment Period</t>
  </si>
  <si>
    <t>Total Tax Due</t>
  </si>
  <si>
    <t>To Be Deposited (In %)</t>
  </si>
  <si>
    <t>To Be Deposited (In Amount)</t>
  </si>
  <si>
    <t>Deposit Amount</t>
  </si>
  <si>
    <t>Remaining Tax Due</t>
  </si>
  <si>
    <t>Int Rate (In %)</t>
  </si>
  <si>
    <t>First (Up to June)</t>
  </si>
  <si>
    <t>TAX ON TOTAL INCOME  (A)</t>
  </si>
  <si>
    <t>Second (Up to Sep)</t>
  </si>
  <si>
    <t>Third (Up to Dec)</t>
  </si>
  <si>
    <t>Fourth (Up to March)</t>
  </si>
  <si>
    <t>Less : Depreciation or book loss (whichever is lower)</t>
  </si>
  <si>
    <t>BOOK PROFIT</t>
  </si>
  <si>
    <t xml:space="preserve">15% THEREOF </t>
  </si>
  <si>
    <t>TAX ON INCOME  (B)</t>
  </si>
  <si>
    <t>A OR B WHICHEVER IS HIGHER</t>
  </si>
  <si>
    <t>Add  : Surcharge @ 7%</t>
  </si>
  <si>
    <t>Add  : Education Cess @ 4%</t>
  </si>
  <si>
    <t>TOTAL TAX PAYABLE</t>
  </si>
  <si>
    <t>Less : Tax Paid</t>
  </si>
  <si>
    <t xml:space="preserve">           (a)  TDS and TCS ( As per 26 AS)</t>
  </si>
  <si>
    <t xml:space="preserve">           (b)  MAT Utilised</t>
  </si>
  <si>
    <t xml:space="preserve">           (c)  Advance Tax</t>
  </si>
  <si>
    <t>Add  : Interest  u/s 234C</t>
  </si>
  <si>
    <t>Less : Self Assessment Tax Paid</t>
  </si>
  <si>
    <t>BALANCE TAX PAYABLE / (REFUNDABLE)</t>
  </si>
  <si>
    <t xml:space="preserve">Brought Forward Loss / Unabsorbed Depreciation  </t>
  </si>
  <si>
    <t>Business Loss</t>
  </si>
  <si>
    <t>Unabsorbed Depreciation</t>
  </si>
  <si>
    <t>Normal Depreciation</t>
  </si>
  <si>
    <t>Additional Depreciation</t>
  </si>
  <si>
    <t>AY 2016-17</t>
  </si>
  <si>
    <t>Less: Set off Against Income of AY 2018-19</t>
  </si>
  <si>
    <t>Less: Set off Against Income of AY 2020-21</t>
  </si>
  <si>
    <t>Calculation of Maximum Remuneration to Director u/s 197 of  Companies Act 2013</t>
  </si>
  <si>
    <t>In case of No profit /Loss/Inedaqate Profit</t>
  </si>
  <si>
    <t>Mat Credit Utilisation working</t>
  </si>
  <si>
    <t>Effective capital :</t>
  </si>
  <si>
    <t>IT</t>
  </si>
  <si>
    <t>MAT</t>
  </si>
  <si>
    <t>Paid up capial</t>
  </si>
  <si>
    <t>SC</t>
  </si>
  <si>
    <t xml:space="preserve">Reserves </t>
  </si>
  <si>
    <t>EC</t>
  </si>
  <si>
    <t>Long term loans and deposit</t>
  </si>
  <si>
    <t>repayment after 1 year</t>
  </si>
  <si>
    <t>Investments</t>
  </si>
  <si>
    <t>Celing Limit</t>
  </si>
  <si>
    <t>Effective capital  between  5 Crores - 10 Crores</t>
  </si>
  <si>
    <t>Total Remuneration Allowable</t>
  </si>
  <si>
    <t>Actual Given</t>
  </si>
  <si>
    <t>Short</t>
  </si>
  <si>
    <t>CASH FLOW STATEMENT FOR THE YEAR ENDED 31ST MARCH, 2023</t>
  </si>
  <si>
    <t>2023-24</t>
  </si>
  <si>
    <t>AAACH1472N</t>
  </si>
  <si>
    <t xml:space="preserve">         To Profit and Loss</t>
  </si>
  <si>
    <t>Anilkumar Lakhotiya</t>
  </si>
  <si>
    <t>Kailashchandra Agarwal</t>
  </si>
  <si>
    <t>Jairnailsingh Saini</t>
  </si>
  <si>
    <t>Remuneration</t>
  </si>
  <si>
    <t>Remuneration Paid</t>
  </si>
  <si>
    <t>Calculation of Effective Capital as on 31/3/2023</t>
  </si>
  <si>
    <t>Paid up share capital</t>
  </si>
  <si>
    <t>Share Premium Account</t>
  </si>
  <si>
    <t>Reserves and Surplus
(Excluding Revaluation Reserve)</t>
  </si>
  <si>
    <t>Long Term Loans
(Excluding WCTL, OD and BG)</t>
  </si>
  <si>
    <t>Sub-Total (A)</t>
  </si>
  <si>
    <t>Accumulated Losses</t>
  </si>
  <si>
    <t>Preliminary Expenses not written off</t>
  </si>
  <si>
    <t>Sub-Total (B)</t>
  </si>
  <si>
    <t>Effective Capital (A-B)</t>
  </si>
  <si>
    <t>Managing Director</t>
  </si>
  <si>
    <t>Whole Time Director</t>
  </si>
  <si>
    <t>Adequacy of Remuneration Paid</t>
  </si>
  <si>
    <t>Remuneration Admissible to MD and WTD</t>
  </si>
  <si>
    <t>Remuneration Payable During the period</t>
  </si>
  <si>
    <t>Remuneration Admissible to Other Directors</t>
  </si>
  <si>
    <t>Excess Remuneration Paid</t>
  </si>
  <si>
    <t>LEAVE WITH WAGES STATEMENT 01.04.2022 TO 31.03-2023</t>
  </si>
  <si>
    <t>S.N.</t>
  </si>
  <si>
    <t>NAME OF EMPLOYEES</t>
  </si>
  <si>
    <t>MONTHS</t>
  </si>
  <si>
    <t>DAYS</t>
  </si>
  <si>
    <t>SALARY</t>
  </si>
  <si>
    <t xml:space="preserve">AMOUNT </t>
  </si>
  <si>
    <t>01.04.22</t>
  </si>
  <si>
    <t>01.01.23</t>
  </si>
  <si>
    <t>BASIC+DA</t>
  </si>
  <si>
    <t>TO</t>
  </si>
  <si>
    <t>RS.</t>
  </si>
  <si>
    <t>31.12.22</t>
  </si>
  <si>
    <t>31.03.23</t>
  </si>
  <si>
    <t>MR.</t>
  </si>
  <si>
    <t>NITIN  THAKRE</t>
  </si>
  <si>
    <t>SAMBHU RAI</t>
  </si>
  <si>
    <t>PRADIP THAKRE</t>
  </si>
  <si>
    <t>PRAKASH CHAPLE</t>
  </si>
  <si>
    <t>VINOD SAMDURKAR</t>
  </si>
  <si>
    <t>SATISH KALBANDE</t>
  </si>
  <si>
    <t>SUBHASH SHIRSAGAR</t>
  </si>
  <si>
    <t>SUBHASH JAISWAL</t>
  </si>
  <si>
    <t>SURESH KEDAR</t>
  </si>
  <si>
    <t>NASIR AHMAD KHAN</t>
  </si>
  <si>
    <t>SUDHAKAR RAUT</t>
  </si>
  <si>
    <t>NANDKISHOR AKOLKAR</t>
  </si>
  <si>
    <t>NARESH ERPATE</t>
  </si>
  <si>
    <t>MAHULAL YADAV</t>
  </si>
  <si>
    <t>PAWAN DIGAMBER</t>
  </si>
  <si>
    <t>MANOHAR REWATKAR</t>
  </si>
  <si>
    <t>VIKAS NEHARE</t>
  </si>
  <si>
    <t>PRAMOD NEHARE</t>
  </si>
  <si>
    <t>MANOJ GORE</t>
  </si>
  <si>
    <t>SACHIN DEHANKAR</t>
  </si>
  <si>
    <t>CHANDRASHEKHAR BALKI</t>
  </si>
  <si>
    <t>RAJU KUKADE</t>
  </si>
  <si>
    <t>CHANDRASHEKHAR CHOUDHARI</t>
  </si>
  <si>
    <t>ASHISHKUMAR PASWAN</t>
  </si>
  <si>
    <t>DILIP PATEL</t>
  </si>
  <si>
    <t>MANOHAR SHEREKAR</t>
  </si>
  <si>
    <t>MOHD ANISH ABDUL AZIZ</t>
  </si>
  <si>
    <t>RAMNARESH SINGH</t>
  </si>
  <si>
    <t>DIGAMBER  DHORE</t>
  </si>
  <si>
    <t>NANAJI  DIGORE</t>
  </si>
  <si>
    <t>RISHIKUMAR YADAV</t>
  </si>
  <si>
    <t>VISHNU ANMADWAR</t>
  </si>
  <si>
    <t>RAMDYAL HINGE</t>
  </si>
  <si>
    <t>DHANRAJ RAUT</t>
  </si>
  <si>
    <t>RAMSINGH PARTETI</t>
  </si>
  <si>
    <t>JIWAN WANDHARE</t>
  </si>
  <si>
    <t>NARAYAN WARTHI</t>
  </si>
  <si>
    <t>RAVINDRA KUMBHARE</t>
  </si>
  <si>
    <t>ISHWAR NAGOSE</t>
  </si>
  <si>
    <t>AMIL WARTHI</t>
  </si>
  <si>
    <t>MAROTI KATLAM</t>
  </si>
  <si>
    <t>TOTAL AMOUNT</t>
  </si>
  <si>
    <t>Remuneration Payable on 31/3/23</t>
  </si>
  <si>
    <t>Month</t>
  </si>
  <si>
    <t>Qty</t>
  </si>
  <si>
    <t>46.90 &amp; 100.32</t>
  </si>
  <si>
    <t>24.115 &amp; 47.274</t>
  </si>
  <si>
    <t>Invoice Amount (In USD)</t>
  </si>
  <si>
    <t>Amount (INR)</t>
  </si>
  <si>
    <t>Subsequent Payment</t>
  </si>
  <si>
    <t>03-04-2023 &amp; 18-04-2023</t>
  </si>
  <si>
    <t>Closing Rate</t>
  </si>
  <si>
    <t>Due Date Wise Debtor Ageing as on 31.03.2023</t>
  </si>
  <si>
    <t>Debtors Type</t>
  </si>
  <si>
    <t>Inv. No.</t>
  </si>
  <si>
    <t>Amount Rs.</t>
  </si>
  <si>
    <t>Credit Days</t>
  </si>
  <si>
    <t>Due  Date</t>
  </si>
  <si>
    <t>Due  Days</t>
  </si>
  <si>
    <t>Day's</t>
  </si>
  <si>
    <t>&lt; 30</t>
  </si>
  <si>
    <t>30-60</t>
  </si>
  <si>
    <t>61-90</t>
  </si>
  <si>
    <t>91-180</t>
  </si>
  <si>
    <t>&gt; 180</t>
  </si>
  <si>
    <t>TDS CNT</t>
  </si>
  <si>
    <t>CR-2481A</t>
  </si>
  <si>
    <t>Shreyansh</t>
  </si>
  <si>
    <t>TDS-22-23</t>
  </si>
  <si>
    <t>TDS-21-22</t>
  </si>
  <si>
    <t>TDS 22-23</t>
  </si>
  <si>
    <t>Compl DNT</t>
  </si>
  <si>
    <t>CR-3263</t>
  </si>
  <si>
    <t>CR-3291</t>
  </si>
  <si>
    <t>J-4</t>
  </si>
  <si>
    <t>CR-1155</t>
  </si>
  <si>
    <t>Compl</t>
  </si>
  <si>
    <t>Summery - Debtors Type</t>
  </si>
  <si>
    <t>Export Sales</t>
  </si>
  <si>
    <t>Domestic Sales</t>
  </si>
  <si>
    <t>Total Debtors</t>
  </si>
  <si>
    <t>Diff.</t>
  </si>
  <si>
    <t>Clearing &amp; Forwarding to Transit OCC</t>
  </si>
  <si>
    <t>GST Audit Fees Payable</t>
  </si>
  <si>
    <t>IGST @ 12 % SALES</t>
  </si>
  <si>
    <t>MANGAL  PAPERS</t>
  </si>
  <si>
    <t>W I P OTHER EQUIPMENTS</t>
  </si>
  <si>
    <t>MAERSK LINE INDIA PVT LTD</t>
  </si>
  <si>
    <t>MSC Mediterranean Shipping Company S.A.</t>
  </si>
  <si>
    <t>1-2 year</t>
  </si>
  <si>
    <t>W-I-P Power Plant</t>
  </si>
  <si>
    <t>Accurate Sales Agencies</t>
  </si>
  <si>
    <t>Mangal Papers</t>
  </si>
  <si>
    <t>Custom Duty Payable</t>
  </si>
  <si>
    <t>Custom Duty</t>
  </si>
  <si>
    <t>Custom Duty Total</t>
  </si>
  <si>
    <t>c. The Company has not allotted any shares for consideration other than cash during 5 years preceding March 31, 2023</t>
  </si>
  <si>
    <r>
      <t xml:space="preserve">3) Two Term Loans of ₹ 7.75 Crores and ₹ 1.40 Crores respectively. 
- </t>
    </r>
    <r>
      <rPr>
        <b/>
        <sz val="14"/>
        <rFont val="Calibri"/>
        <family val="2"/>
        <scheme val="minor"/>
      </rPr>
      <t>Term Loan of ₹ 7.75 Crores</t>
    </r>
    <r>
      <rPr>
        <sz val="14"/>
        <rFont val="Calibri"/>
        <family val="2"/>
        <scheme val="minor"/>
      </rPr>
      <t xml:space="preserve"> : The Principle Loan amount  to be repaid in 20 Equated instalments of ₹ 38.75 Lacs on Quarterly basis till March 2027. Entire loan amount has been disbursed.
- </t>
    </r>
    <r>
      <rPr>
        <b/>
        <sz val="14"/>
        <rFont val="Calibri"/>
        <family val="2"/>
        <scheme val="minor"/>
      </rPr>
      <t>Term Loan of ₹ 1.40 Crores</t>
    </r>
    <r>
      <rPr>
        <sz val="14"/>
        <rFont val="Calibri"/>
        <family val="2"/>
        <scheme val="minor"/>
      </rPr>
      <t xml:space="preserve"> : The Principle Loan amount  to be repaid in 20 Equated Instalments of ₹ 7 Lacs on Quarterly basis starting from April 2023 till January 2028. Of the total amount of loan, ₹ 1,01,84,018 has been disbursed till 31/03/2023. </t>
    </r>
  </si>
  <si>
    <t>Related Parties - Repayable on demand after 1st April, 2024</t>
  </si>
  <si>
    <t>Loss</t>
  </si>
  <si>
    <t xml:space="preserve"> STATEMENT OF CHANGE IN EQUITY FOR THE YEAR ENDED ON 31ST MARCH, 2023</t>
  </si>
  <si>
    <t xml:space="preserve"> STATEMENT OF PROFIT AND LOSS FOR THE YEAR ENDED ON 31ST MARCH, 2023</t>
  </si>
  <si>
    <t>SUMIT M DARAK</t>
  </si>
  <si>
    <t>Tax Losses</t>
  </si>
  <si>
    <t>Deferred Tax Assets for the year ended 31.03.23</t>
  </si>
  <si>
    <t>SUMIT M. DARAK</t>
  </si>
  <si>
    <t>Membership No: 141902</t>
  </si>
  <si>
    <t>MEMBERSHIP NO. : 141902</t>
  </si>
  <si>
    <t>NOTE 39 :</t>
  </si>
  <si>
    <t xml:space="preserve">PSI Subsidy for FY 2021-22 is recognised in the books after the receipt of provisional sanction from office of District Industries Centre. </t>
  </si>
  <si>
    <t>CA SUMIT M. DARAK</t>
  </si>
  <si>
    <t>Membership No. 141902</t>
  </si>
  <si>
    <t>Translation of Monetary Items to Functional Currency and Calculation of fluctuation thereon</t>
  </si>
  <si>
    <t>Party</t>
  </si>
  <si>
    <t>Amount (In USD)</t>
  </si>
  <si>
    <t>Amount in INR</t>
  </si>
  <si>
    <t>Fluctuation Gain/(Loss)</t>
  </si>
  <si>
    <t>Amount recognised in books</t>
  </si>
  <si>
    <t>NOTE 9 :OTHER CURRENT ASSETS</t>
  </si>
  <si>
    <t>NOTE 10 : CURRENT TAX ASSET (NET)</t>
  </si>
  <si>
    <t>NOTE 11 : SHARE CAPITAL</t>
  </si>
  <si>
    <t>NOTE 12 : BORROWINGS</t>
  </si>
  <si>
    <t>NOTE 13 : Non Current - Provisions</t>
  </si>
  <si>
    <t>NOTE 14 : DEFERRED TAX LIABILITIES / (ASSETS)</t>
  </si>
  <si>
    <t xml:space="preserve">NOTE 15 : SHORT TERM BORROWINGS </t>
  </si>
  <si>
    <t>NOTE 16: TRADE PAYABLES</t>
  </si>
  <si>
    <t>NOTE 17: OTHER FINANCIAL LIABILITIES : CURRENT</t>
  </si>
  <si>
    <t>NOTE 18 : OTHER CURRENT LIABILITIES</t>
  </si>
  <si>
    <t>NOTE 19 : PROVISIONS</t>
  </si>
  <si>
    <t>NOTE 20 : REVENUE FROM OPERATIONS</t>
  </si>
  <si>
    <t>NOTE 21 : OTHER INCOME</t>
  </si>
  <si>
    <t>NOTE 22 : COST OF MATERIAL CONSUMED</t>
  </si>
  <si>
    <t>NOTE 23 :CHANGES IN INVENTORIES OF FINISHED GOODS</t>
  </si>
  <si>
    <t>NOTE 24 :EMPLOYEE BENEFIT EXPENSES</t>
  </si>
  <si>
    <t>NOTE 25 :FINANCE COSTS</t>
  </si>
  <si>
    <t>NOTE 26 :OTHER EXPENSES</t>
  </si>
  <si>
    <t>NOTE 27 : OTHER COMPREHENSIVE INCOME</t>
  </si>
  <si>
    <t>NOTE 28 : EARNING PER SHARE</t>
  </si>
  <si>
    <t>NOTE 29 : SUPPLEMENTARY INFORMATION</t>
  </si>
  <si>
    <t>NOTE 30 : AUDITORS REMUNERATION</t>
  </si>
  <si>
    <t>NOTE 31: FAIR VALUE DISCLOSURES</t>
  </si>
  <si>
    <t>NOTE 32: CAPITAL MANAGEMENT</t>
  </si>
  <si>
    <t>NOTE 33 : Disclosure required by INDAS 19-Employee Benefits</t>
  </si>
  <si>
    <t>NOTE 34 :</t>
  </si>
  <si>
    <t>NOTE 36 :  RELATED PARTIES DISCLOSURE</t>
  </si>
  <si>
    <t>NOTE 37 :CONTINGENT LIABILITIES &amp; CAPITAL COMMITMENTS</t>
  </si>
  <si>
    <t>NOTE 38 :</t>
  </si>
  <si>
    <t>Details of Related Party Transactions During the year 2022-23</t>
  </si>
  <si>
    <t>List of Related Parties for the Period 2022-23</t>
  </si>
  <si>
    <t>Sr No.</t>
  </si>
  <si>
    <t>Name of Related Party</t>
  </si>
  <si>
    <t>Nature of Transaction</t>
  </si>
  <si>
    <t>Date of transaction</t>
  </si>
  <si>
    <t>Ledger Impacted</t>
  </si>
  <si>
    <t>Relation with the entity</t>
  </si>
  <si>
    <t>Nature of Transactions undertaken</t>
  </si>
  <si>
    <t>Anamika Traders (WP)</t>
  </si>
  <si>
    <t>Creditor</t>
  </si>
  <si>
    <t>Directors Brother</t>
  </si>
  <si>
    <t>Raw Material (Waste Paper) Purchase</t>
  </si>
  <si>
    <t>Shree Enterprises (WP)</t>
  </si>
  <si>
    <t>M. D's Brother</t>
  </si>
  <si>
    <t>GSL Enterprises (WP)</t>
  </si>
  <si>
    <t>M. D's  Brothers Grandson</t>
  </si>
  <si>
    <t>Chandra Sales Corporation(Sale)</t>
  </si>
  <si>
    <t>SALES</t>
  </si>
  <si>
    <t>Debtor</t>
  </si>
  <si>
    <t>Directors Son</t>
  </si>
  <si>
    <t>Kraft Paper Sale</t>
  </si>
  <si>
    <t>Chandra Coal Private Limited (Sale)</t>
  </si>
  <si>
    <t xml:space="preserve">Chandra Coal Private Ltd </t>
  </si>
  <si>
    <t>Husk Purchase</t>
  </si>
  <si>
    <t>COAL TRANSPORTATION</t>
  </si>
  <si>
    <t>Jarnail Singh Saini (Director)</t>
  </si>
  <si>
    <t xml:space="preserve">Anamika Traders </t>
  </si>
  <si>
    <t>Anamika Traders</t>
  </si>
  <si>
    <t>Shree Enterprises</t>
  </si>
  <si>
    <t>(₹ in Lacs, unless otherwise stated)</t>
  </si>
  <si>
    <t>Quarter Ended</t>
  </si>
  <si>
    <t>Un-Audited</t>
  </si>
  <si>
    <t>Audited</t>
  </si>
  <si>
    <t>1.Income from operations</t>
  </si>
  <si>
    <t xml:space="preserve">         (a)     Revenue from Operations</t>
  </si>
  <si>
    <t xml:space="preserve">         (b)    Other Income</t>
  </si>
  <si>
    <t xml:space="preserve">                   Total income from operations (net)</t>
  </si>
  <si>
    <t>2.Expenses</t>
  </si>
  <si>
    <t xml:space="preserve">         (a)     Cost of Material Consumed</t>
  </si>
  <si>
    <t xml:space="preserve">         (b)    Changes to inventories of finished goods and WIP</t>
  </si>
  <si>
    <t xml:space="preserve">         (c)    Employee benefit expense</t>
  </si>
  <si>
    <t xml:space="preserve">         (d)    Financial Cost</t>
  </si>
  <si>
    <t xml:space="preserve">         (e)    Depreciation and Amortisation expenses </t>
  </si>
  <si>
    <t xml:space="preserve">         (f)    Other expenses</t>
  </si>
  <si>
    <t xml:space="preserve">                   Total expenses </t>
  </si>
  <si>
    <t>3.Profit / (Loss) before exceptional and extraordinary Items and tax (1-2)</t>
  </si>
  <si>
    <t>4.Exceptional Item</t>
  </si>
  <si>
    <t>5.Profit / (Loss) before extraordinary items and tax(3+4)</t>
  </si>
  <si>
    <t xml:space="preserve">6. Extraordinary items </t>
  </si>
  <si>
    <t>7.Profit/(loss) before tax (5+6)</t>
  </si>
  <si>
    <t>8.Tax expenses</t>
  </si>
  <si>
    <t xml:space="preserve">         (a) Current tax</t>
  </si>
  <si>
    <t xml:space="preserve">         (b) Earlier year taxes</t>
  </si>
  <si>
    <t xml:space="preserve">         (c) MAT credit Entilement</t>
  </si>
  <si>
    <t xml:space="preserve">         (d) Deferred tax</t>
  </si>
  <si>
    <t xml:space="preserve">                   Total tax</t>
  </si>
  <si>
    <t>9.Net Profit for the period /year (7-8)</t>
  </si>
  <si>
    <t>10.Other comprehensive income</t>
  </si>
  <si>
    <t xml:space="preserve">                   (i) items that will not be reclassified to profit or loss</t>
  </si>
  <si>
    <t xml:space="preserve">                   (ii) income tax relating to item that will not be  reclassified to profit or loss</t>
  </si>
  <si>
    <t>11.Total Comprehensive Income for the Period(9+10)</t>
  </si>
  <si>
    <r>
      <t xml:space="preserve">12. Paid-up-equity share capital ( face value </t>
    </r>
    <r>
      <rPr>
        <sz val="11"/>
        <color theme="1"/>
        <rFont val="Rupee"/>
      </rPr>
      <t xml:space="preserve">₹ </t>
    </r>
    <r>
      <rPr>
        <sz val="11"/>
        <color theme="1"/>
        <rFont val="Calibri"/>
        <family val="2"/>
      </rPr>
      <t>10/- each )</t>
    </r>
  </si>
  <si>
    <t>13.Reserve excluding revaluation reserves as per balance sheet of previous accounting year</t>
  </si>
  <si>
    <t xml:space="preserve">14.Earnings per share </t>
  </si>
  <si>
    <r>
      <t xml:space="preserve">                          - Basic EPS (</t>
    </r>
    <r>
      <rPr>
        <sz val="11"/>
        <color theme="1"/>
        <rFont val="Rupee"/>
      </rPr>
      <t>₹</t>
    </r>
    <r>
      <rPr>
        <sz val="11"/>
        <color theme="1"/>
        <rFont val="Calibri"/>
        <family val="2"/>
      </rPr>
      <t>)</t>
    </r>
  </si>
  <si>
    <r>
      <t xml:space="preserve">                          - Diluted EPS (</t>
    </r>
    <r>
      <rPr>
        <sz val="11"/>
        <color theme="1"/>
        <rFont val="Rupee"/>
      </rPr>
      <t>₹</t>
    </r>
    <r>
      <rPr>
        <sz val="11"/>
        <color theme="1"/>
        <rFont val="Calibri"/>
        <family val="2"/>
      </rPr>
      <t>)</t>
    </r>
  </si>
  <si>
    <t>Notes:</t>
  </si>
  <si>
    <t>2) The results have been prepared in accordance with the Indian Accounting Standards (Ind AS) prescribed under section 133 of the Companies Act, 2013 and other recognised accounting practices and policies to the extent applicable.</t>
  </si>
  <si>
    <t>3) The Company is into manufacturing of Kraft Paper which is considered as the only reportable segment. The Company's operations are based in India.</t>
  </si>
  <si>
    <t>4) The figures for corresponding periods have been regrouped, wherever applicable, to make them comparable.</t>
  </si>
  <si>
    <t>6) The Auditors of the Company have carried out "Limited Review" of the above financial results.</t>
  </si>
  <si>
    <t>As At</t>
  </si>
  <si>
    <t>March 31, 2022</t>
  </si>
  <si>
    <t>Sub-total - Non Current assets</t>
  </si>
  <si>
    <t xml:space="preserve">    (iv) Other Financial assets</t>
  </si>
  <si>
    <t>Sub-total -Current assets</t>
  </si>
  <si>
    <t>TOTAL ASSETS</t>
  </si>
  <si>
    <t>Shareholders Fund</t>
  </si>
  <si>
    <t>Sub- total Shareholders fund</t>
  </si>
  <si>
    <t>Sub-total Non-current liabilities</t>
  </si>
  <si>
    <t>Sub-total Current liabilities</t>
  </si>
  <si>
    <t>TOTAL - EQUITY &amp; LIABILITIES</t>
  </si>
  <si>
    <t>1)Previous Year Figures have been regrouped wherever necessary.</t>
  </si>
  <si>
    <t>Period Ended</t>
  </si>
  <si>
    <t>STATEMENT OF UNAUDITIED STANDALONE FINANCIAL RESULTS FOR QUARTER ENDED 31ST MARCH 2023</t>
  </si>
  <si>
    <t>Statement Of Assets &amp; Liabilities as on 31ST MARCH 2023</t>
  </si>
  <si>
    <t>March 31, 2023</t>
  </si>
  <si>
    <t>As per published Quarterly Results</t>
  </si>
  <si>
    <t>CASH FLOW STATEMENT FOR THE YEAR ENDED 31ST MARCH 2023</t>
  </si>
  <si>
    <t>Loss on Sale / Disacardment of PPE</t>
  </si>
  <si>
    <t>Revaluation Surplus on Revaluation of Fixed Assets ( Land &amp; Building)</t>
  </si>
  <si>
    <t>The carrying value and fair value of financial assets/liabilities by categories are as follows:</t>
  </si>
  <si>
    <r>
      <t xml:space="preserve">ii) </t>
    </r>
    <r>
      <rPr>
        <b/>
        <sz val="14"/>
        <rFont val="Calibri"/>
        <family val="2"/>
        <scheme val="minor"/>
      </rPr>
      <t xml:space="preserve">Liquidity Risk : </t>
    </r>
    <r>
      <rPr>
        <sz val="14"/>
        <rFont val="Calibri"/>
        <family val="2"/>
        <scheme val="minor"/>
      </rPr>
      <t>Liquidity risk is the risk that the Company will encounter difficulty in meeting the obligations associated with its financial liabilities that are settled by delivering cash or another financial asset. The Company’s approach in managing liquidity is to ensure as far as possible that it will have sufficient liquidity to meet its liabilities when they are due, under both normal and stressed condition, without incurring unacceptable losses or risking damage to the Company’s reputation</t>
    </r>
  </si>
  <si>
    <t xml:space="preserve">Reconciliation of Opening and Closing balance of the Present Value of the defined benefit obligation </t>
  </si>
  <si>
    <t xml:space="preserve">Pursuant to the enactment of Companies Act, 2013, the Company has applied the estimated useful lives as specified in Schedule II, Accordingly the unamortised carrying value is being depreciated /amortised over the revised/remaining useful lives. The entity adopts the revaluation model under IND AS 16 for Land and Building pertaining to same class of assets. As per the management's estimation their is no material change in the valuation of Factory Land &amp; Building hence the no change in the valuation of Factory &amp; Building. </t>
  </si>
  <si>
    <t>Mr. Anil Kumar Lakhotiya</t>
  </si>
  <si>
    <t>Bank Guarantee given to Customs Department</t>
  </si>
  <si>
    <t>(3) MAT credit Entitlement</t>
  </si>
  <si>
    <t>Addition During Prior prior period</t>
  </si>
  <si>
    <t xml:space="preserve">B) Credit risk arising from trade receivables is managed in accordance with company's established policy with regard to credit limits, control and approval procedure. The company provides for expected credit losses on trade receivables based on simplified approach as per Ind AS 109 Under this Approach, expected credit losses are computed basis the probability of defaults over the lifetime of the asset. This allowance is measured taking into account credit profile of the customer, geographical spread, trade channels, past experience of defaults, estimates of future uncertainties etc. Further, management believes that the unimpaired amounts that are past due by more than 180 days are still collectible in full, based on historical payment behaviour and extensive analysis of customer credit risk. </t>
  </si>
  <si>
    <t>2) Equitable Mortgage of Agriculture Land in the name of " Mr. Jarnailsingh Saini" being Survey Number, Khasra No. 20, situated at open Land at kh No. 20/1, P H No 67, Mouje: Hardoli, Tq: Katol, Dist: Nagpur- 441103, Admeasuring Total area 2.00 Hr.</t>
  </si>
  <si>
    <t>2) Fund Based Working Capital Term loan was sanctioned  on 05.04.2021 which is repayable in 4 years including the moratorium of 12 months. The repayment starts from June 21 with the monthly repayment of Rs. 4.06 Lacs payable in 36 monthly instalments.</t>
  </si>
  <si>
    <t>(a) Breakup of Deferred Tax Liability at the end of the year.</t>
  </si>
  <si>
    <t>(a) Breakup of Deferred Tax Assets at the end of the year.</t>
  </si>
  <si>
    <t>Disallowances u/s 43B and others</t>
  </si>
  <si>
    <t>Payable for Goods &amp; Services</t>
  </si>
  <si>
    <t>ii) The amount of interest credit by the buyer in terms of section 16, of the MSMED Act,2006 along with the amount at the payment made to the supplier beyond the appointed day during each accounting year.</t>
  </si>
  <si>
    <t>iii) The amount of interest due and payable for the period of delay in making payment (which have been paid but beyond the appointed day during the year) but without adding the interest specified under MSMED Act.</t>
  </si>
  <si>
    <t>Custom Duty Exp Ag.Transit OCC</t>
  </si>
  <si>
    <t>1 ) The above results were reviewed by the Audit Committee and then approved by the Board at their respective meeting held on ___________________.</t>
  </si>
  <si>
    <t>5) The figures for the quarters ended 31st March 2023 and 31st March 2022 as reported in these financial results are the balancing figures between audited figures in respect of the full financial years and the published year to date figures end up to the end of the third quarter of the respective financial years.</t>
  </si>
  <si>
    <t>NOTE 41 :</t>
  </si>
  <si>
    <t>The company has not entered into any transaction with the companies whose name has been struck off by the Registrar of companies from the register of companies</t>
  </si>
  <si>
    <t>NOTE 42 :PSI Subsidy</t>
  </si>
  <si>
    <t>Status of Suppliers and amount outstanding &amp; Advances given to SSI/MSME Units as on 31.03.2023</t>
  </si>
  <si>
    <t>SR.NO.</t>
  </si>
  <si>
    <t>SUPPLIER</t>
  </si>
  <si>
    <t>PAN</t>
  </si>
  <si>
    <t>CATEGORY</t>
  </si>
  <si>
    <t>Group</t>
  </si>
  <si>
    <t>CLOSING BALANCE</t>
  </si>
  <si>
    <t>CR-EXP</t>
  </si>
  <si>
    <t>DR</t>
  </si>
  <si>
    <t>CR-CG</t>
  </si>
  <si>
    <t>CR</t>
  </si>
  <si>
    <t>MSME</t>
  </si>
  <si>
    <t>SMALL</t>
  </si>
  <si>
    <t>MICRO</t>
  </si>
  <si>
    <t>DR.</t>
  </si>
  <si>
    <t>CR- EXP</t>
  </si>
  <si>
    <t>MEDIUM</t>
  </si>
  <si>
    <t>CR-GOODS</t>
  </si>
  <si>
    <t>CR-TRANSPORT</t>
  </si>
  <si>
    <t>Rest of Parties are not given their declaration till date.</t>
  </si>
  <si>
    <t>Contains bills outstanding for more than 45 days</t>
  </si>
  <si>
    <t>MSMED Interest Calculation (Contingent Liability)</t>
  </si>
  <si>
    <t>Opening balance due</t>
  </si>
  <si>
    <t>Interest for the month @ 19.5% p.a.</t>
  </si>
  <si>
    <t>Closing balance</t>
  </si>
  <si>
    <t>Total Interest</t>
  </si>
  <si>
    <t>Date of invoice</t>
  </si>
  <si>
    <t>45 Days from invoice date</t>
  </si>
  <si>
    <t>Date: 27/05/2023</t>
  </si>
  <si>
    <t>\</t>
  </si>
  <si>
    <t>Ratio Analysis</t>
  </si>
  <si>
    <t>Numerator</t>
  </si>
  <si>
    <t>31.03.2022 (₹)</t>
  </si>
  <si>
    <t>Denominator</t>
  </si>
  <si>
    <t>Current Ratio</t>
  </si>
  <si>
    <t>Creditors for goods and services</t>
  </si>
  <si>
    <t>Sundry Debtors</t>
  </si>
  <si>
    <t>Short term loans</t>
  </si>
  <si>
    <t>Cash and Bank balances</t>
  </si>
  <si>
    <t>Bank Overdraft</t>
  </si>
  <si>
    <t>Receivables/Accruals</t>
  </si>
  <si>
    <t>Cash Credit</t>
  </si>
  <si>
    <t>Loans and Advances</t>
  </si>
  <si>
    <t>Outstanding Expenses</t>
  </si>
  <si>
    <t>Disposable Investments</t>
  </si>
  <si>
    <t>Provision for taxation</t>
  </si>
  <si>
    <t>Any other current assets</t>
  </si>
  <si>
    <t>Unclaimed Dividend</t>
  </si>
  <si>
    <t>Any other current liabilities</t>
  </si>
  <si>
    <t>Debt Equity Ratio</t>
  </si>
  <si>
    <t>Total Liabilities</t>
  </si>
  <si>
    <t>Shareholder's Equity</t>
  </si>
  <si>
    <t>Total Outside Liabilities</t>
  </si>
  <si>
    <t>Total Shareholders Equity</t>
  </si>
  <si>
    <t>Debt Service Coverage Ratio</t>
  </si>
  <si>
    <t>Net Operating Income</t>
  </si>
  <si>
    <t>Debt Service</t>
  </si>
  <si>
    <t>(For Ind AS Companies Profit before OCI)</t>
  </si>
  <si>
    <t>Net Profit after tax + non-cash operating expenses like depreciation and other amortizations + Interest+other adjustments like loss on sale of fixed assets, etc.</t>
  </si>
  <si>
    <t>Current Debt Obligation (Interest &amp; Lease payment+ Principal Repayment.</t>
  </si>
  <si>
    <t>Return on Equity Ratio</t>
  </si>
  <si>
    <t>Profit for the period</t>
  </si>
  <si>
    <t>Avg. Shareholders Equity</t>
  </si>
  <si>
    <t>Net Profit after taxes - preference dividend (if any)</t>
  </si>
  <si>
    <t>(Beginning shareholders' equity + Ending shareholders' equity) ÷ 2</t>
  </si>
  <si>
    <t>Inventory Turnover Ratio</t>
  </si>
  <si>
    <t>Cost of Goods sold</t>
  </si>
  <si>
    <t>Average Inventory</t>
  </si>
  <si>
    <t>(Opening Stock + Purchases) – Closing Stock</t>
  </si>
  <si>
    <t>(Opening Stock + Closing Stock)/2</t>
  </si>
  <si>
    <t>Trade Receivables Turnover Ratio</t>
  </si>
  <si>
    <t>Net Credit Sales</t>
  </si>
  <si>
    <t>Average Trade Receivables</t>
  </si>
  <si>
    <t>as per FM book</t>
  </si>
  <si>
    <t>Credit Sales</t>
  </si>
  <si>
    <t>(Beginning Trade Receivables + Ending Trade Receivables) / 2</t>
  </si>
  <si>
    <t>Trade Payables Turnover Ratio</t>
  </si>
  <si>
    <t>Total Purchases</t>
  </si>
  <si>
    <t>Average Trade Payables</t>
  </si>
  <si>
    <t>Annual Net Credit Purchases</t>
  </si>
  <si>
    <t>(Beginning Trade Payables + Ending Trade Payables) / 2</t>
  </si>
  <si>
    <t>Net Capital Turnover Ratio</t>
  </si>
  <si>
    <t>Net Sales</t>
  </si>
  <si>
    <t>Average Working Capital</t>
  </si>
  <si>
    <t>Total Sales - Sales Return</t>
  </si>
  <si>
    <t>Current Assets - Current Liabilities</t>
  </si>
  <si>
    <t>Net Profit Ratio</t>
  </si>
  <si>
    <t>Net Profit</t>
  </si>
  <si>
    <t>Profit After Tax</t>
  </si>
  <si>
    <t>Return on Capital employed</t>
  </si>
  <si>
    <t>EBIT</t>
  </si>
  <si>
    <t>Capital Employed *</t>
  </si>
  <si>
    <t>Profit before Interest and Taxes</t>
  </si>
  <si>
    <t>Capital Employed = Tangible Net Worth + Total Debt + Deferred Tax Liability</t>
  </si>
  <si>
    <t>Return on Investment</t>
  </si>
  <si>
    <t>Return/Profit/Earnings</t>
  </si>
  <si>
    <t>Investment **</t>
  </si>
  <si>
    <t xml:space="preserve">* Capital Employed could be treated three ways </t>
  </si>
  <si>
    <t xml:space="preserve">Total Assets - Current Labilities </t>
  </si>
  <si>
    <t>Fixed Assets + Working Capital</t>
  </si>
  <si>
    <t>Equity + Long Term Debt</t>
  </si>
  <si>
    <t>***</t>
  </si>
  <si>
    <t>ROI as per GN</t>
  </si>
  <si>
    <r>
      <t xml:space="preserve">ROI = </t>
    </r>
    <r>
      <rPr>
        <u/>
        <sz val="10"/>
        <rFont val="Calibri"/>
        <family val="2"/>
        <scheme val="minor"/>
      </rPr>
      <t xml:space="preserve">{MV(T1) – MV(T0) – Sum [C(t)]} </t>
    </r>
  </si>
  <si>
    <t xml:space="preserve">{MV(T0) + Sum [W(t) * C(t)]} </t>
  </si>
  <si>
    <t xml:space="preserve">where, T1 = End of time period </t>
  </si>
  <si>
    <t xml:space="preserve">T0 = Beginning of time period </t>
  </si>
  <si>
    <t xml:space="preserve">t = Specific date falling between T1 and T0 </t>
  </si>
  <si>
    <t xml:space="preserve">MV(T1) = Market Value at T1 </t>
  </si>
  <si>
    <t xml:space="preserve">MV(T0) = Market Value at T0 </t>
  </si>
  <si>
    <t xml:space="preserve">C(t) = Cash inflow, cash outflow on specific date </t>
  </si>
  <si>
    <t xml:space="preserve">W(t) = Weight of the net cash flow (i.e. either net inflow or net outflow) on day ‘t’, calculated as [T1 – t] / T1 </t>
  </si>
  <si>
    <t>Companies may provide ROI separately for each asset class (e.g., equity, fixed income, money market, etc.).</t>
  </si>
  <si>
    <t>31.03.2023 (₹)</t>
  </si>
  <si>
    <t>Variance</t>
  </si>
  <si>
    <t>Reason For Variance above 25%</t>
  </si>
  <si>
    <t>Note 44 : Financial Ratios</t>
  </si>
  <si>
    <t>H A R D O L I   P A P E R   M I L L S   L I M I T E D</t>
  </si>
  <si>
    <t>CAPITALISE SALARY SHEET FOR EXPANSION DONE IN 22-23</t>
  </si>
  <si>
    <t>SN.</t>
  </si>
  <si>
    <t>NAME</t>
  </si>
  <si>
    <t>APRIL</t>
  </si>
  <si>
    <t>MAY</t>
  </si>
  <si>
    <t>JUNE</t>
  </si>
  <si>
    <t>JULY</t>
  </si>
  <si>
    <t>AUG.</t>
  </si>
  <si>
    <t>SEPT.</t>
  </si>
  <si>
    <t>OCT.</t>
  </si>
  <si>
    <t>NOV.</t>
  </si>
  <si>
    <t>DEC.</t>
  </si>
  <si>
    <t>JAN.</t>
  </si>
  <si>
    <t>FEB.</t>
  </si>
  <si>
    <t>MARCH</t>
  </si>
  <si>
    <t>CAPITALIZE AMOUNT</t>
  </si>
  <si>
    <t>SAL.</t>
  </si>
  <si>
    <t>STAFF : 50%</t>
  </si>
  <si>
    <t>GAURAV LAKHOTIYA</t>
  </si>
  <si>
    <t>VISHAL JOSHI</t>
  </si>
  <si>
    <t>DIGAMBER DHORE</t>
  </si>
  <si>
    <t>NANAJI DIGHORE</t>
  </si>
  <si>
    <t>YOGESH GHAGRE</t>
  </si>
  <si>
    <t>KUNAL JAIN</t>
  </si>
  <si>
    <t>NITIN THAKRE</t>
  </si>
  <si>
    <t>DIRECTORS</t>
  </si>
  <si>
    <t>Mr.</t>
  </si>
  <si>
    <t>ANILKUMAR M. LAKHOTIYA</t>
  </si>
  <si>
    <t>J. S. SAINI</t>
  </si>
  <si>
    <t>KAILASH AGRAWAL</t>
  </si>
  <si>
    <t>O. D. RATHI</t>
  </si>
  <si>
    <t>CONTRACTORS LABOUR : 25%</t>
  </si>
  <si>
    <t>MOTGHARE CONTRACTOR</t>
  </si>
  <si>
    <t>NEHARE CONTRACTOR</t>
  </si>
  <si>
    <t>Overtime Capitalised</t>
  </si>
  <si>
    <t>APR</t>
  </si>
  <si>
    <t>JUN</t>
  </si>
  <si>
    <t>AUG</t>
  </si>
  <si>
    <t>SEPT</t>
  </si>
  <si>
    <t>OCT</t>
  </si>
  <si>
    <t>NOV</t>
  </si>
  <si>
    <t>DEC</t>
  </si>
  <si>
    <t>JAN</t>
  </si>
  <si>
    <t>FEB</t>
  </si>
  <si>
    <t>MAR</t>
  </si>
  <si>
    <t>100%CAPITALIZE AMOUNT</t>
  </si>
  <si>
    <t>OT.</t>
  </si>
  <si>
    <t>UNSECURED LOAN INTT</t>
  </si>
  <si>
    <t>O D RATHI</t>
  </si>
  <si>
    <t>GARIMA MAHESHWARI</t>
  </si>
  <si>
    <t>Expenses Capitalised During the year as follows :</t>
  </si>
  <si>
    <t>Salary and Wages</t>
  </si>
  <si>
    <t>Labor Contractor Payments</t>
  </si>
  <si>
    <t>Director's Remuneration</t>
  </si>
  <si>
    <t>Finance Cost</t>
  </si>
  <si>
    <t>In Past, the Company had received order from the office of the Commissioner of Central Excise, Custom &amp; Service Tax, Nagpur -II demanding Excise Duty of Rs. 25,88,898/- including penalty. The Company has filed an appeal with the Commissioner (Appeals) under section 35 of the Act against the said order. The Company has paid the basic Demand under protest amounting to 12,94,449/- to save interest and penalty on suomoto basis. Based on the legal advice, the Company had not made any provisions against the said demand. In absence of any progress on the said matter, during the year, the company has written off the said amount paid in FY 2018-19.</t>
  </si>
  <si>
    <t>Due to reduction in Debtors and increase on Cash Credit &amp; Sundry Creditors</t>
  </si>
  <si>
    <t>Due to increase in borrowings and losses incurred during the current FY.</t>
  </si>
  <si>
    <t>Due to losses incurred in current Financial Year.</t>
  </si>
  <si>
    <t>There are no proceedings initiated or are pending against the Company for holding any benami property under the Prohibition of Benami Property Transaction Act, 1988 and rules made thereunder.</t>
  </si>
  <si>
    <t>Note 43 : Benami Properties</t>
  </si>
  <si>
    <t>Ratio</t>
  </si>
  <si>
    <t>The Company had received demand of Rs 2,73,06,791 in earlier years on account of Excise Duty &amp; Penalty excluding interest for the period from  F.Y.2008-09 to 2010-2011.The Company had obtained stay order against the same and filed an appeal with Custom, Excise &amp; Service Tax Appellate Tribunal, Mumbai. As per order dated 13/09/2022, the appeal is allowed in favour of Company.</t>
  </si>
  <si>
    <t>Capital Employed</t>
  </si>
  <si>
    <t>Amount In Lakhs</t>
  </si>
  <si>
    <t>Outstanding in USD</t>
  </si>
  <si>
    <t>1) Term Loan is secured by the assets to be created out of Bank Finance including Hypothecation of Plant &amp; machineries purchased out of Bank Finance, hypothecation of new additional Plant &amp; Machineries to be bought in, hypothecation of Factory Land and  Buildings bearing Survey No. 31 situated at Kh No 31/1 &amp; 31/2 within the limits of Grampanchayat Ringanboli, Tah : Katol, Mouza Hardoli, Katol, Dist.: Nagpur, Maharashtra - 441103, Admeasuring total area of 42,200 Sq. Mtrs.</t>
  </si>
  <si>
    <t>1) Working Capital Term Loan (WCTL) is secured by the hypothecation &amp; first charge on existing as well as future entire stock of raw materials, finished goods, stock-in-process, stores and spares, packing materials at the factory premises or at some other places including goods in transit, outstanding moneys, book debts and receivables with the personal guarantees of the directors.</t>
  </si>
  <si>
    <t>(Secured by way of hypothecation Factory land and Building, Plant and Machinery and of entire existing and future stock of the unit at its godowns or at some other places including goods in transit, outstanding moneys, book debts, receivables, both present and future including personal guarantee of all the Directors &amp; the Promoters of the Company. These borrowings are repayable on demand.)</t>
  </si>
  <si>
    <t>Note 44 :</t>
  </si>
  <si>
    <t>Quarterly returns/statements of current assets filed by the company with bank are in agreement with the unaudited financial results published by the company time to time with Metropolitan Stock Exchange.</t>
  </si>
  <si>
    <t>NOTE 45 :</t>
  </si>
  <si>
    <t>Note 46 :</t>
  </si>
  <si>
    <t>Note 47 : Ratio Analysis</t>
  </si>
  <si>
    <t>NOTE 48 :</t>
  </si>
  <si>
    <t>1 to 48</t>
  </si>
  <si>
    <t>Movement during the year</t>
  </si>
  <si>
    <t>The Company has one class of equity shares having a par value of Rs.10 each. Each shareholder is eligible for one vote per share held. The dividend proposed by the Board of Directors is subject to the approval of the shareholders in the ensuing Annual General Meeting, except in case of interim dividend. In the event of liquidation, the equity shareholders are eligible to receive the remaining assets of the Company after distribution of all preferential amounts, in proportion to their shareholding.</t>
  </si>
  <si>
    <t>Information as required to be furnished as per section 22 of the Micro, Small and Medium Enterprises Development Act, 2006 (MSMED Act) for the year ended March 31,2023 is given below. This information has been determined to the extent such parties have been identified on the basis of information available with the company.</t>
  </si>
  <si>
    <t>c) Other Financial Assets</t>
  </si>
  <si>
    <r>
      <t xml:space="preserve">ii) </t>
    </r>
    <r>
      <rPr>
        <b/>
        <sz val="14"/>
        <rFont val="Calibri"/>
        <family val="2"/>
        <scheme val="minor"/>
      </rPr>
      <t xml:space="preserve">Liquidity Risk : </t>
    </r>
    <r>
      <rPr>
        <sz val="14"/>
        <rFont val="Calibri"/>
        <family val="2"/>
        <scheme val="minor"/>
      </rPr>
      <t>Liquidity risk is the risk that the Company will encounter difficulty in meeting the obligations associated with its financial liabilities that are settled by delivering cash or another financial asset. The Company’s approach in managing liquidity is to ensure as far as possible that it will have sufficient liquidity to meet its liabilities when they are due, under both normal and stressed condition, without incurring unacceptable losses or risking damage to the Company’s reputation.</t>
    </r>
  </si>
  <si>
    <r>
      <t xml:space="preserve">iii) </t>
    </r>
    <r>
      <rPr>
        <b/>
        <sz val="14"/>
        <rFont val="Calibri"/>
        <family val="2"/>
        <scheme val="minor"/>
      </rPr>
      <t xml:space="preserve">Market Risk : </t>
    </r>
    <r>
      <rPr>
        <sz val="14"/>
        <rFont val="Calibri"/>
        <family val="2"/>
        <scheme val="minor"/>
      </rPr>
      <t>Market risk is the risk that changes in market prices such as foreign exchange rates, interest rates and commodity prices which will affect the Company’s income or the value of its holdings of financial instruments. The objective of market risk management is to manage and control market exposures within acceptable parameters, while optimising the return.</t>
    </r>
  </si>
  <si>
    <t>No changes were made in the objectives, policies or processes for managing capital during the years ended 31 March 2023 and
31 March 2022.</t>
  </si>
  <si>
    <t>The company has obtained its office premises for its business operations under operating lease or leave and license agreements. These are generally cancellable under leave and licence, or renewed longer for other lease and are renewable by mutual consent on mutually agreeable terms. Lease payments are recognised in the Statement of Profit and Loss under "Rent for office premises" in Note 26.</t>
  </si>
  <si>
    <t>1) Depreciation on building includes the depreciation charged on revalued amount of Rs, 5,73,063/-.</t>
  </si>
  <si>
    <t>1) Depreciation on building includes the depreciation charged on revalued amount of Rs, 5.73 Lakhs/-.</t>
  </si>
  <si>
    <t>UDIN: 23141902BGXWON4071</t>
  </si>
  <si>
    <t>No changes were made in the objectives, policies or processes for managing capital during the years ended 31 March 2023 and 31 March 2022.</t>
  </si>
  <si>
    <t>NOTE 45 : Unhedged Foreign Exchange Exposure</t>
  </si>
  <si>
    <t>New Project</t>
  </si>
  <si>
    <t>New Project / Expansion</t>
  </si>
  <si>
    <t>Interest Paid to Key Managerial Personnel</t>
  </si>
  <si>
    <t>Salary to Key Managerial Personnel</t>
  </si>
  <si>
    <t>Loan Accepted From Key Managerial Personnel</t>
  </si>
  <si>
    <t>Loan Repaid to Key Managerial Personnel</t>
  </si>
  <si>
    <t>Loans Taken From Key Managerial Personnel</t>
  </si>
  <si>
    <t>Closing Balances</t>
  </si>
  <si>
    <t>Salary to Key managerial personnel</t>
  </si>
  <si>
    <t>Loan Accepted from Key Managerial Personnel</t>
  </si>
  <si>
    <t>Loans Taken from Key Managerial Personnel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</si>
</sst>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64" formatCode="_ * #,##0_ ;_ * \-#,##0_ ;_ * &quot;-&quot;??_ ;_ @_ "/>
    <numFmt numFmtId="165" formatCode="&quot;&quot;0.00"/>
    <numFmt numFmtId="166" formatCode="&quot;&quot;0"/>
    <numFmt numFmtId="167" formatCode="_(&quot;$&quot;* #,##0.00_);_(&quot;$&quot;* \(#,##0.00\);_(&quot;$&quot;* &quot;-&quot;??_);_(@_)"/>
    <numFmt numFmtId="168" formatCode="0.00;[Red]0.00"/>
    <numFmt numFmtId="169" formatCode="_(* #,##0_);_(* \(#,##0\);_(* &quot;-&quot;_);_(@_)"/>
    <numFmt numFmtId="170" formatCode="_(* #,##0.00_);_(* \(#,##0.00\);_(* &quot;-&quot;??_);_(@_)"/>
    <numFmt numFmtId="171" formatCode="_ * #,##0.0_ ;_ * \-#,##0.0_ ;_ * &quot;-&quot;??_ ;_ @_ "/>
    <numFmt numFmtId="172" formatCode="[$-409]d\-mmm\-yy;@"/>
    <numFmt numFmtId="173" formatCode="_(* #,##0_);_(* \(#,##0\);_(* &quot;-&quot;??_);_(@_)"/>
    <numFmt numFmtId="174" formatCode="_(* #,##0.000_);_(* \(#,##0.000\);_(* &quot;-&quot;??_);_(@_)"/>
    <numFmt numFmtId="175" formatCode="0.0"/>
    <numFmt numFmtId="176" formatCode="_ * #,##0.000_ ;_ * \-#,##0.000_ ;_ * &quot;-&quot;??_ ;_ @_ "/>
    <numFmt numFmtId="177" formatCode="_-* #,##0.00_-;\-* #,##0.00_-;_-* &quot;-&quot;??_-;_-@_-"/>
    <numFmt numFmtId="178" formatCode="0.00_ ;\-0.00\ "/>
    <numFmt numFmtId="179" formatCode="0.000%"/>
    <numFmt numFmtId="180" formatCode="_ * #,##0.0000_ ;_ * \-#,##0.0000_ ;_ * &quot;-&quot;??_ ;_ @_ "/>
    <numFmt numFmtId="181" formatCode="&quot;WORKINGS ON DEFERRED TAXATION AS ON &quot;[$-409]d\-mmm\-yy;@"/>
    <numFmt numFmtId="182" formatCode="0.0%"/>
    <numFmt numFmtId="183" formatCode="&quot;Deferred Tax Liability as on &quot;[$-409]d\-mmm\-yy;@"/>
    <numFmt numFmtId="184" formatCode="0.00000%"/>
    <numFmt numFmtId="185" formatCode="#,##0.000000;\-#,##0.000000"/>
    <numFmt numFmtId="186" formatCode="0_);\(0\)"/>
    <numFmt numFmtId="187" formatCode="_-* #,##0_-;\-* #,##0_-;_-* &quot;-&quot;??_-;_-@_-"/>
    <numFmt numFmtId="188" formatCode="_-* #,##0.00_-;\-* #,##0.00_-;_-* &quot;-&quot;_-;_-@_-"/>
    <numFmt numFmtId="189" formatCode="_(* #,##0.00_);_(* \(#,##0.00\);_(* &quot;-&quot;_);_(@_)"/>
  </numFmts>
  <fonts count="129">
    <font>
      <sz val="11"/>
      <color theme="1"/>
      <name val="Calibri"/>
      <family val="2"/>
      <scheme val="minor"/>
    </font>
    <font>
      <sz val="11"/>
      <color theme="1"/>
      <name val="Calibri"/>
      <family val="2"/>
      <scheme val="minor"/>
    </font>
    <font>
      <b/>
      <sz val="11"/>
      <color theme="1"/>
      <name val="Calibri"/>
      <family val="2"/>
      <scheme val="minor"/>
    </font>
    <font>
      <b/>
      <sz val="11"/>
      <name val="Bookman Old Style"/>
      <family val="1"/>
    </font>
    <font>
      <sz val="9"/>
      <color theme="1"/>
      <name val="Arial"/>
      <family val="2"/>
    </font>
    <font>
      <b/>
      <sz val="11"/>
      <color theme="1"/>
      <name val="Arial Black"/>
      <family val="2"/>
    </font>
    <font>
      <b/>
      <sz val="12"/>
      <color theme="1"/>
      <name val="Arial"/>
      <family val="2"/>
    </font>
    <font>
      <sz val="10"/>
      <color theme="1"/>
      <name val="Arial"/>
      <family val="2"/>
    </font>
    <font>
      <b/>
      <sz val="9"/>
      <color theme="1"/>
      <name val="Arial"/>
      <family val="2"/>
    </font>
    <font>
      <sz val="10"/>
      <name val="Arial"/>
      <family val="2"/>
    </font>
    <font>
      <b/>
      <sz val="14"/>
      <name val="Calibri"/>
      <family val="2"/>
      <scheme val="minor"/>
    </font>
    <font>
      <sz val="14"/>
      <name val="Calibri"/>
      <family val="2"/>
      <scheme val="minor"/>
    </font>
    <font>
      <b/>
      <u/>
      <sz val="14"/>
      <name val="Calibri"/>
      <family val="2"/>
      <scheme val="minor"/>
    </font>
    <font>
      <b/>
      <i/>
      <u/>
      <sz val="14"/>
      <name val="Calibri"/>
      <family val="2"/>
      <scheme val="minor"/>
    </font>
    <font>
      <i/>
      <sz val="14"/>
      <name val="Calibri"/>
      <family val="2"/>
      <scheme val="minor"/>
    </font>
    <font>
      <u/>
      <sz val="14"/>
      <name val="Calibri"/>
      <family val="2"/>
      <scheme val="minor"/>
    </font>
    <font>
      <sz val="10"/>
      <name val="Bookman Old Style"/>
      <family val="1"/>
    </font>
    <font>
      <b/>
      <u/>
      <sz val="11"/>
      <color theme="1"/>
      <name val="Calibri"/>
      <family val="2"/>
      <scheme val="minor"/>
    </font>
    <font>
      <u/>
      <sz val="11"/>
      <color theme="10"/>
      <name val="Calibri"/>
      <family val="2"/>
    </font>
    <font>
      <b/>
      <sz val="11"/>
      <name val="Calibri"/>
      <family val="2"/>
      <scheme val="minor"/>
    </font>
    <font>
      <sz val="12"/>
      <color theme="1"/>
      <name val="Calibri"/>
      <family val="2"/>
      <scheme val="minor"/>
    </font>
    <font>
      <b/>
      <u/>
      <sz val="12"/>
      <color theme="1"/>
      <name val="Calibri"/>
      <family val="2"/>
      <scheme val="minor"/>
    </font>
    <font>
      <b/>
      <sz val="12"/>
      <name val="Calibri"/>
      <family val="2"/>
      <scheme val="minor"/>
    </font>
    <font>
      <b/>
      <sz val="12"/>
      <color theme="1"/>
      <name val="Calibri"/>
      <family val="2"/>
      <scheme val="minor"/>
    </font>
    <font>
      <sz val="11"/>
      <color theme="1"/>
      <name val="Book Antiqua"/>
      <family val="2"/>
    </font>
    <font>
      <b/>
      <sz val="18"/>
      <color theme="1"/>
      <name val="Book Antiqua"/>
      <family val="1"/>
    </font>
    <font>
      <b/>
      <sz val="12"/>
      <color theme="1"/>
      <name val="Book Antiqua"/>
      <family val="1"/>
    </font>
    <font>
      <b/>
      <sz val="12"/>
      <color rgb="FFFF0000"/>
      <name val="Book Antiqua"/>
      <family val="1"/>
    </font>
    <font>
      <b/>
      <sz val="11"/>
      <color theme="1"/>
      <name val="Book Antiqua"/>
      <family val="1"/>
    </font>
    <font>
      <sz val="10"/>
      <color theme="1"/>
      <name val="Book Antiqua"/>
      <family val="2"/>
    </font>
    <font>
      <sz val="11"/>
      <color theme="1"/>
      <name val="Book Antiqua"/>
      <family val="1"/>
    </font>
    <font>
      <b/>
      <sz val="10"/>
      <color theme="1"/>
      <name val="Book Antiqua"/>
      <family val="2"/>
    </font>
    <font>
      <b/>
      <sz val="11"/>
      <color theme="1"/>
      <name val="Book Antiqua"/>
      <family val="2"/>
    </font>
    <font>
      <b/>
      <sz val="10"/>
      <color theme="1"/>
      <name val="Book Antiqua"/>
      <family val="1"/>
    </font>
    <font>
      <sz val="10"/>
      <color theme="1"/>
      <name val="Book Antiqua"/>
      <family val="1"/>
    </font>
    <font>
      <sz val="11"/>
      <name val="Book Antiqua"/>
      <family val="1"/>
    </font>
    <font>
      <sz val="11"/>
      <color rgb="FFFF0000"/>
      <name val="Book Antiqua"/>
      <family val="1"/>
    </font>
    <font>
      <sz val="10"/>
      <color rgb="FFFF0000"/>
      <name val="Book Antiqua"/>
      <family val="2"/>
    </font>
    <font>
      <b/>
      <sz val="11"/>
      <name val="Book Antiqua"/>
      <family val="1"/>
    </font>
    <font>
      <b/>
      <sz val="10"/>
      <color theme="0"/>
      <name val="Book Antiqua"/>
      <family val="1"/>
    </font>
    <font>
      <sz val="12"/>
      <color theme="1"/>
      <name val="Book Antiqua"/>
      <family val="1"/>
    </font>
    <font>
      <b/>
      <sz val="14"/>
      <color theme="1"/>
      <name val="Book Antiqua"/>
      <family val="1"/>
    </font>
    <font>
      <b/>
      <sz val="16"/>
      <color theme="1"/>
      <name val="Book Antiqua"/>
      <family val="1"/>
    </font>
    <font>
      <sz val="11"/>
      <color theme="0"/>
      <name val="Book Antiqua"/>
      <family val="2"/>
    </font>
    <font>
      <sz val="10"/>
      <color rgb="FF333333"/>
      <name val="Verdana"/>
      <family val="2"/>
    </font>
    <font>
      <sz val="11"/>
      <name val="Book Antiqua"/>
      <family val="2"/>
    </font>
    <font>
      <sz val="10"/>
      <color theme="0"/>
      <name val="Book Antiqua"/>
      <family val="2"/>
    </font>
    <font>
      <b/>
      <sz val="11"/>
      <color theme="0"/>
      <name val="Book Antiqua"/>
      <family val="2"/>
    </font>
    <font>
      <b/>
      <sz val="9"/>
      <color indexed="81"/>
      <name val="Tahoma"/>
      <family val="2"/>
    </font>
    <font>
      <sz val="9"/>
      <color indexed="81"/>
      <name val="Tahoma"/>
      <family val="2"/>
    </font>
    <font>
      <b/>
      <sz val="20"/>
      <color theme="1"/>
      <name val="Calibri"/>
      <family val="2"/>
      <scheme val="minor"/>
    </font>
    <font>
      <b/>
      <sz val="14"/>
      <color theme="1"/>
      <name val="Calibri"/>
      <family val="2"/>
      <scheme val="minor"/>
    </font>
    <font>
      <b/>
      <sz val="10"/>
      <name val="Calibri Light"/>
      <family val="1"/>
      <scheme val="major"/>
    </font>
    <font>
      <b/>
      <u/>
      <sz val="10"/>
      <name val="Calibri Light"/>
      <family val="1"/>
      <scheme val="major"/>
    </font>
    <font>
      <sz val="10"/>
      <name val="Calibri Light"/>
      <family val="1"/>
      <scheme val="major"/>
    </font>
    <font>
      <b/>
      <sz val="10"/>
      <color indexed="12"/>
      <name val="Calibri Light"/>
      <family val="1"/>
      <scheme val="major"/>
    </font>
    <font>
      <sz val="10"/>
      <color indexed="12"/>
      <name val="Calibri Light"/>
      <family val="1"/>
      <scheme val="major"/>
    </font>
    <font>
      <strike/>
      <sz val="11"/>
      <color theme="1"/>
      <name val="Calibri"/>
      <family val="2"/>
      <scheme val="minor"/>
    </font>
    <font>
      <sz val="11"/>
      <name val="Calibri"/>
      <family val="2"/>
      <scheme val="minor"/>
    </font>
    <font>
      <b/>
      <sz val="12"/>
      <name val="Bookman Old Style"/>
      <family val="1"/>
    </font>
    <font>
      <b/>
      <sz val="12"/>
      <color indexed="12"/>
      <name val="Bookman Old Style"/>
      <family val="1"/>
    </font>
    <font>
      <sz val="12"/>
      <color indexed="12"/>
      <name val="Bookman Old Style"/>
      <family val="1"/>
    </font>
    <font>
      <sz val="12"/>
      <name val="Bookman Old Style"/>
      <family val="1"/>
    </font>
    <font>
      <sz val="11"/>
      <color indexed="8"/>
      <name val="Calibri"/>
      <family val="2"/>
    </font>
    <font>
      <b/>
      <sz val="10"/>
      <color theme="1"/>
      <name val="Georgia"/>
      <family val="1"/>
    </font>
    <font>
      <sz val="10"/>
      <color theme="1"/>
      <name val="Georgia"/>
      <family val="1"/>
    </font>
    <font>
      <sz val="12"/>
      <color theme="1"/>
      <name val="Georgia"/>
      <family val="1"/>
    </font>
    <font>
      <b/>
      <sz val="12"/>
      <color theme="1"/>
      <name val="Georgia"/>
      <family val="1"/>
    </font>
    <font>
      <b/>
      <u/>
      <sz val="15"/>
      <color theme="1"/>
      <name val="Calibri"/>
      <family val="2"/>
      <scheme val="minor"/>
    </font>
    <font>
      <b/>
      <u val="singleAccounting"/>
      <sz val="11"/>
      <color theme="1"/>
      <name val="Calibri"/>
      <family val="2"/>
      <scheme val="minor"/>
    </font>
    <font>
      <sz val="10"/>
      <name val="Times New Roman"/>
      <family val="1"/>
    </font>
    <font>
      <u/>
      <sz val="11"/>
      <color theme="10"/>
      <name val="Book Antiqua"/>
      <family val="2"/>
    </font>
    <font>
      <b/>
      <sz val="11"/>
      <color indexed="12"/>
      <name val="Calibri"/>
      <family val="2"/>
      <scheme val="minor"/>
    </font>
    <font>
      <sz val="11"/>
      <color indexed="0"/>
      <name val="Calibri"/>
      <family val="2"/>
      <scheme val="minor"/>
    </font>
    <font>
      <b/>
      <sz val="11"/>
      <color indexed="0"/>
      <name val="Calibri"/>
      <family val="2"/>
      <scheme val="minor"/>
    </font>
    <font>
      <b/>
      <sz val="11"/>
      <color indexed="8"/>
      <name val="Calibri"/>
      <family val="2"/>
      <scheme val="minor"/>
    </font>
    <font>
      <sz val="11"/>
      <color rgb="FFC00000"/>
      <name val="Calibri"/>
      <family val="2"/>
      <scheme val="minor"/>
    </font>
    <font>
      <b/>
      <sz val="10"/>
      <color rgb="FFC00000"/>
      <name val="Book Antiqua"/>
      <family val="1"/>
    </font>
    <font>
      <sz val="11"/>
      <color rgb="FFFF0000"/>
      <name val="Calibri"/>
      <family val="2"/>
      <scheme val="minor"/>
    </font>
    <font>
      <sz val="11"/>
      <color theme="2" tint="-0.249977111117893"/>
      <name val="Calibri"/>
      <family val="2"/>
      <scheme val="minor"/>
    </font>
    <font>
      <sz val="11"/>
      <color theme="0" tint="-0.499984740745262"/>
      <name val="Calibri"/>
      <family val="2"/>
      <scheme val="minor"/>
    </font>
    <font>
      <sz val="12"/>
      <name val="Calibri"/>
      <family val="2"/>
      <scheme val="minor"/>
    </font>
    <font>
      <b/>
      <u/>
      <sz val="11"/>
      <color theme="2" tint="-0.249977111117893"/>
      <name val="Calibri"/>
      <family val="2"/>
      <scheme val="minor"/>
    </font>
    <font>
      <b/>
      <sz val="12"/>
      <name val="Times New Roman"/>
      <family val="1"/>
    </font>
    <font>
      <sz val="12"/>
      <name val="Times New Roman"/>
      <family val="1"/>
    </font>
    <font>
      <u/>
      <sz val="11"/>
      <color theme="1"/>
      <name val="Calibri"/>
      <family val="2"/>
      <scheme val="minor"/>
    </font>
    <font>
      <i/>
      <sz val="12"/>
      <name val="Times New Roman"/>
      <family val="1"/>
    </font>
    <font>
      <sz val="15"/>
      <color theme="1"/>
      <name val="Calibri"/>
      <family val="2"/>
      <scheme val="minor"/>
    </font>
    <font>
      <b/>
      <sz val="15"/>
      <color theme="1"/>
      <name val="Calibri"/>
      <family val="2"/>
      <scheme val="minor"/>
    </font>
    <font>
      <sz val="12"/>
      <color indexed="8"/>
      <name val="Times New Roman"/>
      <family val="1"/>
    </font>
    <font>
      <sz val="12"/>
      <color rgb="FFFF0000"/>
      <name val="Times New Roman"/>
      <family val="1"/>
    </font>
    <font>
      <b/>
      <u/>
      <sz val="12"/>
      <name val="Times New Roman"/>
      <family val="1"/>
    </font>
    <font>
      <b/>
      <sz val="10"/>
      <name val="Times New Roman"/>
      <family val="1"/>
    </font>
    <font>
      <b/>
      <sz val="14"/>
      <name val="Times New Roman"/>
      <family val="1"/>
    </font>
    <font>
      <b/>
      <sz val="12"/>
      <name val="Arial"/>
      <family val="2"/>
    </font>
    <font>
      <sz val="12"/>
      <name val="Arial"/>
      <family val="2"/>
    </font>
    <font>
      <sz val="10"/>
      <name val="Courier"/>
      <family val="3"/>
    </font>
    <font>
      <b/>
      <sz val="14"/>
      <name val="Georgia"/>
      <family val="1"/>
    </font>
    <font>
      <sz val="10"/>
      <name val="Georgia"/>
      <family val="1"/>
    </font>
    <font>
      <b/>
      <sz val="10"/>
      <name val="Georgia"/>
      <family val="1"/>
    </font>
    <font>
      <sz val="12"/>
      <color theme="1"/>
      <name val="Bookman Old Style"/>
      <family val="1"/>
    </font>
    <font>
      <b/>
      <sz val="12"/>
      <color theme="1"/>
      <name val="Bookman Old Style"/>
      <family val="1"/>
    </font>
    <font>
      <b/>
      <i/>
      <u/>
      <sz val="10"/>
      <name val="Georgia"/>
      <family val="1"/>
    </font>
    <font>
      <b/>
      <sz val="10"/>
      <color indexed="12"/>
      <name val="Georgia"/>
      <family val="1"/>
    </font>
    <font>
      <sz val="10"/>
      <color rgb="FFFF0000"/>
      <name val="Georgia"/>
      <family val="1"/>
    </font>
    <font>
      <b/>
      <sz val="10"/>
      <color indexed="10"/>
      <name val="Georgia"/>
      <family val="1"/>
    </font>
    <font>
      <sz val="10"/>
      <color indexed="10"/>
      <name val="Georgia"/>
      <family val="1"/>
    </font>
    <font>
      <sz val="11"/>
      <color theme="1"/>
      <name val="Arial"/>
      <family val="2"/>
    </font>
    <font>
      <sz val="12"/>
      <color theme="1"/>
      <name val="Arial"/>
      <family val="2"/>
    </font>
    <font>
      <sz val="14"/>
      <color rgb="FFFF0000"/>
      <name val="Calibri"/>
      <family val="2"/>
      <scheme val="minor"/>
    </font>
    <font>
      <b/>
      <sz val="16"/>
      <name val="Calibri"/>
      <family val="2"/>
      <scheme val="minor"/>
    </font>
    <font>
      <sz val="11"/>
      <color theme="1"/>
      <name val="Rupee"/>
    </font>
    <font>
      <sz val="11"/>
      <color theme="1"/>
      <name val="Calibri"/>
      <family val="2"/>
    </font>
    <font>
      <sz val="11"/>
      <color theme="0"/>
      <name val="Calibri"/>
      <family val="2"/>
      <scheme val="minor"/>
    </font>
    <font>
      <sz val="14"/>
      <color theme="1"/>
      <name val="Calibri"/>
      <family val="2"/>
      <scheme val="minor"/>
    </font>
    <font>
      <b/>
      <sz val="16"/>
      <color theme="1"/>
      <name val="Calibri"/>
      <family val="2"/>
      <scheme val="minor"/>
    </font>
    <font>
      <b/>
      <u/>
      <sz val="12"/>
      <color rgb="FFFF0000"/>
      <name val="Arial"/>
      <family val="2"/>
    </font>
    <font>
      <b/>
      <sz val="10"/>
      <name val="Arial"/>
      <family val="2"/>
    </font>
    <font>
      <i/>
      <sz val="12"/>
      <color theme="1"/>
      <name val="Arial"/>
      <family val="2"/>
    </font>
    <font>
      <b/>
      <sz val="10"/>
      <name val="Calibri"/>
      <family val="2"/>
      <scheme val="minor"/>
    </font>
    <font>
      <sz val="10"/>
      <name val="Calibri"/>
      <family val="2"/>
      <scheme val="minor"/>
    </font>
    <font>
      <u/>
      <sz val="10"/>
      <name val="Calibri"/>
      <family val="2"/>
      <scheme val="minor"/>
    </font>
    <font>
      <b/>
      <u/>
      <sz val="15"/>
      <name val="Arial"/>
      <family val="2"/>
    </font>
    <font>
      <b/>
      <u/>
      <sz val="13"/>
      <name val="Arial"/>
      <family val="2"/>
    </font>
    <font>
      <b/>
      <sz val="9"/>
      <name val="Arial"/>
      <family val="2"/>
    </font>
    <font>
      <sz val="9"/>
      <name val="Arial"/>
      <family val="2"/>
    </font>
    <font>
      <b/>
      <u/>
      <sz val="10"/>
      <name val="Arial"/>
      <family val="2"/>
    </font>
    <font>
      <b/>
      <sz val="10"/>
      <color rgb="FFFF0000"/>
      <name val="Arial"/>
      <family val="2"/>
    </font>
    <font>
      <b/>
      <sz val="16"/>
      <name val="Arial"/>
      <family val="2"/>
    </font>
  </fonts>
  <fills count="12">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theme="0" tint="-0.499984740745262"/>
        <bgColor indexed="64"/>
      </patternFill>
    </fill>
    <fill>
      <patternFill patternType="solid">
        <fgColor theme="4"/>
      </patternFill>
    </fill>
  </fills>
  <borders count="1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39"/>
      </left>
      <right style="thin">
        <color indexed="39"/>
      </right>
      <top style="thin">
        <color indexed="39"/>
      </top>
      <bottom style="thin">
        <color indexed="39"/>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auto="1"/>
      </top>
      <bottom style="thin">
        <color auto="1"/>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right style="medium">
        <color indexed="64"/>
      </right>
      <top style="thin">
        <color auto="1"/>
      </top>
      <bottom style="medium">
        <color indexed="64"/>
      </bottom>
      <diagonal/>
    </border>
    <border>
      <left/>
      <right style="thin">
        <color indexed="64"/>
      </right>
      <top/>
      <bottom style="medium">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38">
    <xf numFmtId="0" fontId="0" fillId="0" borderId="0"/>
    <xf numFmtId="43"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164" fontId="9" fillId="0" borderId="0"/>
    <xf numFmtId="9" fontId="16" fillId="0" borderId="0" applyFont="0" applyFill="0" applyBorder="0" applyAlignment="0" applyProtection="0"/>
    <xf numFmtId="164" fontId="9" fillId="0" borderId="0"/>
    <xf numFmtId="0" fontId="18" fillId="0" borderId="0" applyNumberFormat="0" applyFill="0" applyBorder="0" applyAlignment="0" applyProtection="0">
      <alignment vertical="top"/>
      <protection locked="0"/>
    </xf>
    <xf numFmtId="170" fontId="1" fillId="0" borderId="0" applyFont="0" applyFill="0" applyBorder="0" applyAlignment="0" applyProtection="0"/>
    <xf numFmtId="170" fontId="24" fillId="0" borderId="0" applyFont="0" applyFill="0" applyBorder="0" applyAlignment="0" applyProtection="0"/>
    <xf numFmtId="0" fontId="24" fillId="0" borderId="0"/>
    <xf numFmtId="0" fontId="9" fillId="0" borderId="0"/>
    <xf numFmtId="164" fontId="9" fillId="0" borderId="0"/>
    <xf numFmtId="175" fontId="9" fillId="0" borderId="0" applyFont="0" applyFill="0" applyBorder="0" applyAlignment="0" applyProtection="0"/>
    <xf numFmtId="164" fontId="9" fillId="0" borderId="0"/>
    <xf numFmtId="177" fontId="1" fillId="0" borderId="0" applyFont="0" applyFill="0" applyBorder="0" applyAlignment="0" applyProtection="0"/>
    <xf numFmtId="164" fontId="9" fillId="0" borderId="0"/>
    <xf numFmtId="175" fontId="9" fillId="0" borderId="0" applyFont="0" applyFill="0" applyBorder="0" applyAlignment="0" applyProtection="0"/>
    <xf numFmtId="43" fontId="63" fillId="0" borderId="0" applyFont="0" applyFill="0" applyBorder="0" applyAlignment="0" applyProtection="0"/>
    <xf numFmtId="0" fontId="70" fillId="0" borderId="0"/>
    <xf numFmtId="175" fontId="9" fillId="0" borderId="0" applyFont="0" applyFill="0" applyBorder="0" applyAlignment="0" applyProtection="0"/>
    <xf numFmtId="164" fontId="9" fillId="0" borderId="0"/>
    <xf numFmtId="0" fontId="71" fillId="0" borderId="0" applyNumberFormat="0" applyFill="0" applyBorder="0" applyAlignment="0" applyProtection="0"/>
    <xf numFmtId="170" fontId="9" fillId="0" borderId="0" applyFont="0" applyFill="0" applyBorder="0" applyAlignment="0" applyProtection="0"/>
    <xf numFmtId="0" fontId="9" fillId="0" borderId="0"/>
    <xf numFmtId="0" fontId="9" fillId="0" borderId="0"/>
    <xf numFmtId="164" fontId="9" fillId="0" borderId="0"/>
    <xf numFmtId="175" fontId="9" fillId="0" borderId="0" applyFont="0" applyFill="0" applyBorder="0" applyAlignment="0" applyProtection="0"/>
    <xf numFmtId="170" fontId="9" fillId="0" borderId="0" applyFont="0" applyFill="0" applyBorder="0" applyAlignment="0" applyProtection="0"/>
    <xf numFmtId="186" fontId="9" fillId="0" borderId="0"/>
    <xf numFmtId="186" fontId="9" fillId="0" borderId="0"/>
    <xf numFmtId="177" fontId="9" fillId="0" borderId="0" applyFont="0" applyFill="0" applyBorder="0" applyAlignment="0" applyProtection="0"/>
    <xf numFmtId="0" fontId="96" fillId="0" borderId="0"/>
    <xf numFmtId="170" fontId="9" fillId="0" borderId="0" applyFont="0" applyFill="0" applyBorder="0" applyAlignment="0" applyProtection="0"/>
    <xf numFmtId="170" fontId="9" fillId="0" borderId="0" applyFont="0" applyFill="0" applyBorder="0" applyAlignment="0" applyProtection="0"/>
    <xf numFmtId="164" fontId="9" fillId="0" borderId="0"/>
    <xf numFmtId="0" fontId="113" fillId="11" borderId="0" applyNumberFormat="0" applyBorder="0" applyAlignment="0" applyProtection="0"/>
    <xf numFmtId="0" fontId="9" fillId="0" borderId="0"/>
  </cellStyleXfs>
  <cellXfs count="2458">
    <xf numFmtId="0" fontId="0" fillId="0" borderId="0" xfId="0"/>
    <xf numFmtId="43" fontId="3" fillId="0" borderId="1" xfId="1" applyFont="1" applyBorder="1" applyAlignment="1">
      <alignment horizontal="left"/>
    </xf>
    <xf numFmtId="164" fontId="3" fillId="0" borderId="1" xfId="1" applyNumberFormat="1" applyFont="1" applyBorder="1" applyAlignment="1"/>
    <xf numFmtId="43" fontId="0" fillId="0" borderId="0" xfId="1" applyFont="1"/>
    <xf numFmtId="164" fontId="0" fillId="0" borderId="0" xfId="1" applyNumberFormat="1" applyFont="1" applyAlignment="1"/>
    <xf numFmtId="49" fontId="4" fillId="0" borderId="0" xfId="0" applyNumberFormat="1" applyFont="1" applyAlignment="1">
      <alignment vertical="top"/>
    </xf>
    <xf numFmtId="43" fontId="0" fillId="0" borderId="2" xfId="1" applyFont="1" applyBorder="1"/>
    <xf numFmtId="164" fontId="0" fillId="0" borderId="3" xfId="1" applyNumberFormat="1" applyFont="1" applyBorder="1" applyAlignment="1"/>
    <xf numFmtId="43" fontId="0" fillId="0" borderId="3" xfId="1" applyFont="1" applyBorder="1"/>
    <xf numFmtId="43" fontId="2" fillId="0" borderId="3" xfId="1" applyFont="1" applyBorder="1"/>
    <xf numFmtId="43" fontId="2" fillId="0" borderId="0" xfId="1" applyFont="1"/>
    <xf numFmtId="164" fontId="2" fillId="0" borderId="0" xfId="1" applyNumberFormat="1" applyFont="1" applyAlignment="1"/>
    <xf numFmtId="43" fontId="0" fillId="0" borderId="0" xfId="0" applyNumberFormat="1"/>
    <xf numFmtId="0" fontId="0" fillId="0" borderId="0" xfId="0" pivotButton="1"/>
    <xf numFmtId="0" fontId="0" fillId="0" borderId="0" xfId="0" applyAlignment="1">
      <alignment horizontal="left"/>
    </xf>
    <xf numFmtId="168" fontId="11" fillId="0" borderId="4" xfId="4" applyNumberFormat="1" applyFont="1" applyBorder="1"/>
    <xf numFmtId="164" fontId="10" fillId="0" borderId="13" xfId="1" applyNumberFormat="1" applyFont="1" applyFill="1" applyBorder="1" applyAlignment="1">
      <alignment horizontal="center"/>
    </xf>
    <xf numFmtId="164" fontId="11" fillId="0" borderId="14" xfId="1" applyNumberFormat="1" applyFont="1" applyFill="1" applyBorder="1" applyAlignment="1">
      <alignment vertical="center" wrapText="1"/>
    </xf>
    <xf numFmtId="164" fontId="11" fillId="0" borderId="14" xfId="1" applyNumberFormat="1" applyFont="1" applyFill="1" applyBorder="1" applyAlignment="1">
      <alignment horizontal="center"/>
    </xf>
    <xf numFmtId="1" fontId="10" fillId="0" borderId="14" xfId="4" applyNumberFormat="1" applyFont="1" applyBorder="1" applyAlignment="1">
      <alignment horizontal="center"/>
    </xf>
    <xf numFmtId="164" fontId="10" fillId="0" borderId="14" xfId="1" applyNumberFormat="1" applyFont="1" applyFill="1" applyBorder="1" applyAlignment="1">
      <alignment horizontal="center"/>
    </xf>
    <xf numFmtId="164" fontId="11" fillId="0" borderId="14" xfId="1" applyNumberFormat="1" applyFont="1" applyFill="1" applyBorder="1" applyAlignment="1">
      <alignment horizontal="right"/>
    </xf>
    <xf numFmtId="164" fontId="10" fillId="0" borderId="1" xfId="1" applyNumberFormat="1" applyFont="1" applyFill="1" applyBorder="1" applyAlignment="1">
      <alignment horizontal="right"/>
    </xf>
    <xf numFmtId="164" fontId="10" fillId="0" borderId="14" xfId="1" applyNumberFormat="1" applyFont="1" applyFill="1" applyBorder="1" applyAlignment="1">
      <alignment horizontal="right"/>
    </xf>
    <xf numFmtId="168" fontId="11" fillId="0" borderId="10" xfId="4" applyNumberFormat="1" applyFont="1" applyBorder="1"/>
    <xf numFmtId="164" fontId="10" fillId="0" borderId="10" xfId="1" applyNumberFormat="1" applyFont="1" applyFill="1" applyBorder="1" applyAlignment="1">
      <alignment horizontal="center"/>
    </xf>
    <xf numFmtId="164" fontId="10" fillId="0" borderId="15" xfId="1" applyNumberFormat="1" applyFont="1" applyFill="1" applyBorder="1" applyAlignment="1">
      <alignment vertical="center"/>
    </xf>
    <xf numFmtId="164" fontId="10" fillId="0" borderId="16" xfId="1" applyNumberFormat="1" applyFont="1" applyFill="1" applyBorder="1" applyAlignment="1">
      <alignment vertical="center"/>
    </xf>
    <xf numFmtId="164" fontId="11" fillId="0" borderId="13" xfId="1" applyNumberFormat="1" applyFont="1" applyFill="1" applyBorder="1" applyAlignment="1">
      <alignment horizontal="center" vertical="center" wrapText="1"/>
    </xf>
    <xf numFmtId="164" fontId="11" fillId="0" borderId="0" xfId="1" applyNumberFormat="1" applyFont="1" applyFill="1" applyBorder="1" applyAlignment="1">
      <alignment horizontal="center" vertical="center" wrapText="1"/>
    </xf>
    <xf numFmtId="164" fontId="11" fillId="0" borderId="0" xfId="1" applyNumberFormat="1" applyFont="1" applyFill="1" applyBorder="1" applyAlignment="1">
      <alignment vertical="center" wrapText="1"/>
    </xf>
    <xf numFmtId="164" fontId="11" fillId="0" borderId="0" xfId="1" applyNumberFormat="1" applyFont="1" applyFill="1" applyBorder="1" applyAlignment="1"/>
    <xf numFmtId="164" fontId="11" fillId="0" borderId="10" xfId="1" applyNumberFormat="1" applyFont="1" applyFill="1" applyBorder="1" applyAlignment="1"/>
    <xf numFmtId="164" fontId="10" fillId="0" borderId="0" xfId="1" applyNumberFormat="1" applyFont="1" applyFill="1" applyBorder="1" applyAlignment="1">
      <alignment horizontal="left"/>
    </xf>
    <xf numFmtId="9" fontId="11" fillId="0" borderId="0" xfId="3" applyFont="1" applyFill="1" applyBorder="1" applyAlignment="1"/>
    <xf numFmtId="9" fontId="10" fillId="0" borderId="0" xfId="3" applyFont="1" applyFill="1" applyBorder="1" applyAlignment="1"/>
    <xf numFmtId="164" fontId="10" fillId="0" borderId="0" xfId="1" applyNumberFormat="1" applyFont="1" applyFill="1" applyBorder="1" applyAlignment="1"/>
    <xf numFmtId="164" fontId="11" fillId="0" borderId="0" xfId="1" applyNumberFormat="1" applyFont="1" applyFill="1" applyBorder="1" applyAlignment="1">
      <alignment horizontal="left"/>
    </xf>
    <xf numFmtId="1" fontId="11" fillId="0" borderId="4" xfId="4" applyNumberFormat="1" applyFont="1" applyBorder="1"/>
    <xf numFmtId="164" fontId="11" fillId="0" borderId="17" xfId="1" applyNumberFormat="1" applyFont="1" applyFill="1" applyBorder="1" applyAlignment="1"/>
    <xf numFmtId="168" fontId="11" fillId="0" borderId="17" xfId="4" applyNumberFormat="1" applyFont="1" applyBorder="1"/>
    <xf numFmtId="164" fontId="10" fillId="0" borderId="13" xfId="1" applyNumberFormat="1" applyFont="1" applyFill="1" applyBorder="1" applyAlignment="1">
      <alignment horizontal="center" vertical="center" wrapText="1"/>
    </xf>
    <xf numFmtId="164" fontId="11" fillId="0" borderId="11" xfId="1" applyNumberFormat="1" applyFont="1" applyFill="1" applyBorder="1" applyAlignment="1">
      <alignment horizontal="right"/>
    </xf>
    <xf numFmtId="164" fontId="10" fillId="0" borderId="1" xfId="1" applyNumberFormat="1" applyFont="1" applyFill="1" applyBorder="1" applyAlignment="1">
      <alignment vertical="center" wrapText="1"/>
    </xf>
    <xf numFmtId="164" fontId="11" fillId="0" borderId="7" xfId="1" applyNumberFormat="1" applyFont="1" applyFill="1" applyBorder="1" applyAlignment="1">
      <alignment vertical="center" wrapText="1"/>
    </xf>
    <xf numFmtId="164" fontId="10" fillId="0" borderId="13" xfId="1" applyNumberFormat="1" applyFont="1" applyFill="1" applyBorder="1" applyAlignment="1">
      <alignment vertical="center" wrapText="1"/>
    </xf>
    <xf numFmtId="43" fontId="11" fillId="0" borderId="7" xfId="1" applyFont="1" applyFill="1" applyBorder="1" applyAlignment="1">
      <alignment vertical="center" wrapText="1"/>
    </xf>
    <xf numFmtId="164" fontId="11" fillId="0" borderId="7" xfId="1" applyNumberFormat="1" applyFont="1" applyFill="1" applyBorder="1" applyAlignment="1">
      <alignment horizontal="center"/>
    </xf>
    <xf numFmtId="164" fontId="11" fillId="0" borderId="7" xfId="1" applyNumberFormat="1" applyFont="1" applyFill="1" applyBorder="1" applyAlignment="1">
      <alignment horizontal="right"/>
    </xf>
    <xf numFmtId="164" fontId="10" fillId="0" borderId="19" xfId="1" applyNumberFormat="1" applyFont="1" applyFill="1" applyBorder="1" applyAlignment="1">
      <alignment vertical="center" wrapText="1"/>
    </xf>
    <xf numFmtId="164" fontId="10" fillId="0" borderId="16" xfId="1" applyNumberFormat="1" applyFont="1" applyFill="1" applyBorder="1" applyAlignment="1">
      <alignment vertical="center" wrapText="1"/>
    </xf>
    <xf numFmtId="164" fontId="10" fillId="0" borderId="7" xfId="1" applyNumberFormat="1" applyFont="1" applyFill="1" applyBorder="1" applyAlignment="1">
      <alignment horizontal="center"/>
    </xf>
    <xf numFmtId="164" fontId="11" fillId="0" borderId="13" xfId="1" applyNumberFormat="1" applyFont="1" applyFill="1" applyBorder="1" applyAlignment="1">
      <alignment vertical="center" wrapText="1"/>
    </xf>
    <xf numFmtId="43" fontId="11" fillId="0" borderId="7" xfId="1" applyFont="1" applyFill="1" applyBorder="1" applyAlignment="1">
      <alignment horizontal="right"/>
    </xf>
    <xf numFmtId="164" fontId="11" fillId="0" borderId="12" xfId="1" applyNumberFormat="1" applyFont="1" applyFill="1" applyBorder="1" applyAlignment="1">
      <alignment horizontal="center" vertical="center" wrapText="1"/>
    </xf>
    <xf numFmtId="9" fontId="11" fillId="0" borderId="4" xfId="3" applyFont="1" applyFill="1" applyBorder="1" applyAlignment="1"/>
    <xf numFmtId="1" fontId="10" fillId="0" borderId="4" xfId="4" applyNumberFormat="1" applyFont="1" applyBorder="1"/>
    <xf numFmtId="164" fontId="13" fillId="0" borderId="14" xfId="1" applyNumberFormat="1" applyFont="1" applyFill="1" applyBorder="1" applyAlignment="1"/>
    <xf numFmtId="164" fontId="11" fillId="0" borderId="14" xfId="1" applyNumberFormat="1" applyFont="1" applyFill="1" applyBorder="1"/>
    <xf numFmtId="164" fontId="11" fillId="0" borderId="14" xfId="1" applyNumberFormat="1" applyFont="1" applyFill="1" applyBorder="1" applyAlignment="1"/>
    <xf numFmtId="164" fontId="10" fillId="0" borderId="16" xfId="1" applyNumberFormat="1" applyFont="1" applyFill="1" applyBorder="1"/>
    <xf numFmtId="164" fontId="11" fillId="0" borderId="7" xfId="1" applyNumberFormat="1" applyFont="1" applyFill="1" applyBorder="1"/>
    <xf numFmtId="164" fontId="11" fillId="0" borderId="13" xfId="1" applyNumberFormat="1" applyFont="1" applyFill="1" applyBorder="1"/>
    <xf numFmtId="164" fontId="10" fillId="0" borderId="14" xfId="1" applyNumberFormat="1" applyFont="1" applyFill="1" applyBorder="1"/>
    <xf numFmtId="164" fontId="10" fillId="0" borderId="7" xfId="1" applyNumberFormat="1" applyFont="1" applyFill="1" applyBorder="1"/>
    <xf numFmtId="0" fontId="11" fillId="0" borderId="4" xfId="0" applyFont="1" applyBorder="1"/>
    <xf numFmtId="164" fontId="11" fillId="0" borderId="0" xfId="1" applyNumberFormat="1" applyFont="1" applyFill="1" applyBorder="1" applyAlignment="1">
      <alignment horizontal="justify" vertical="top" wrapText="1"/>
    </xf>
    <xf numFmtId="164" fontId="10" fillId="0" borderId="14" xfId="1" applyNumberFormat="1" applyFont="1" applyFill="1" applyBorder="1" applyAlignment="1">
      <alignment horizontal="center" vertical="center" wrapText="1"/>
    </xf>
    <xf numFmtId="9" fontId="10" fillId="0" borderId="0" xfId="3" applyFont="1" applyFill="1" applyBorder="1" applyAlignment="1">
      <alignment horizontal="left"/>
    </xf>
    <xf numFmtId="164" fontId="11" fillId="0" borderId="14" xfId="1" applyNumberFormat="1" applyFont="1" applyFill="1" applyBorder="1" applyAlignment="1">
      <alignment horizontal="justify" vertical="top" wrapText="1"/>
    </xf>
    <xf numFmtId="164" fontId="11" fillId="0" borderId="14" xfId="1" applyNumberFormat="1" applyFont="1" applyFill="1" applyBorder="1" applyAlignment="1">
      <alignment horizontal="right" vertical="top" wrapText="1"/>
    </xf>
    <xf numFmtId="164" fontId="11" fillId="0" borderId="7" xfId="1" applyNumberFormat="1" applyFont="1" applyFill="1" applyBorder="1" applyAlignment="1"/>
    <xf numFmtId="164" fontId="10" fillId="0" borderId="16" xfId="1" applyNumberFormat="1" applyFont="1" applyFill="1" applyBorder="1" applyAlignment="1">
      <alignment horizontal="right"/>
    </xf>
    <xf numFmtId="2" fontId="10" fillId="0" borderId="0" xfId="3" applyNumberFormat="1" applyFont="1" applyFill="1" applyBorder="1" applyAlignment="1"/>
    <xf numFmtId="164" fontId="11" fillId="0" borderId="7" xfId="1" applyNumberFormat="1" applyFont="1" applyFill="1" applyBorder="1" applyAlignment="1">
      <alignment horizontal="right" vertical="top" wrapText="1"/>
    </xf>
    <xf numFmtId="43" fontId="11" fillId="0" borderId="0" xfId="1" applyFont="1" applyFill="1" applyBorder="1" applyAlignment="1"/>
    <xf numFmtId="164" fontId="11" fillId="0" borderId="14" xfId="1" applyNumberFormat="1" applyFont="1" applyFill="1" applyBorder="1" applyAlignment="1">
      <alignment horizontal="left" vertical="top" wrapText="1"/>
    </xf>
    <xf numFmtId="164" fontId="10" fillId="0" borderId="7" xfId="1" applyNumberFormat="1" applyFont="1" applyFill="1" applyBorder="1" applyAlignment="1">
      <alignment horizontal="right"/>
    </xf>
    <xf numFmtId="164" fontId="11" fillId="0" borderId="13" xfId="1" applyNumberFormat="1" applyFont="1" applyFill="1" applyBorder="1" applyAlignment="1"/>
    <xf numFmtId="164" fontId="10" fillId="0" borderId="7" xfId="1" applyNumberFormat="1" applyFont="1" applyFill="1" applyBorder="1" applyAlignment="1">
      <alignment horizontal="justify" vertical="top" wrapText="1"/>
    </xf>
    <xf numFmtId="164" fontId="10" fillId="0" borderId="7" xfId="1" applyNumberFormat="1" applyFont="1" applyFill="1" applyBorder="1" applyAlignment="1"/>
    <xf numFmtId="164" fontId="10" fillId="0" borderId="14" xfId="1" applyNumberFormat="1" applyFont="1" applyFill="1" applyBorder="1" applyAlignment="1"/>
    <xf numFmtId="9" fontId="10" fillId="0" borderId="4" xfId="3" applyFont="1" applyFill="1" applyBorder="1" applyAlignment="1">
      <alignment horizontal="left"/>
    </xf>
    <xf numFmtId="2" fontId="12" fillId="0" borderId="0" xfId="3" applyNumberFormat="1" applyFont="1" applyFill="1" applyBorder="1" applyAlignment="1"/>
    <xf numFmtId="164" fontId="11" fillId="0" borderId="13" xfId="1" applyNumberFormat="1" applyFont="1" applyFill="1" applyBorder="1" applyAlignment="1">
      <alignment horizontal="right"/>
    </xf>
    <xf numFmtId="164" fontId="11" fillId="0" borderId="14" xfId="1" applyNumberFormat="1" applyFont="1" applyFill="1" applyBorder="1" applyAlignment="1">
      <alignment horizontal="left" wrapText="1"/>
    </xf>
    <xf numFmtId="164" fontId="10" fillId="0" borderId="14" xfId="1" applyNumberFormat="1" applyFont="1" applyFill="1" applyBorder="1" applyAlignment="1">
      <alignment horizontal="left" vertical="top" wrapText="1"/>
    </xf>
    <xf numFmtId="2" fontId="10" fillId="0" borderId="0" xfId="3" applyNumberFormat="1" applyFont="1" applyFill="1" applyBorder="1" applyAlignment="1">
      <alignment vertical="top" wrapText="1"/>
    </xf>
    <xf numFmtId="164" fontId="10" fillId="0" borderId="0" xfId="1" applyNumberFormat="1" applyFont="1" applyFill="1" applyBorder="1" applyAlignment="1">
      <alignment horizontal="justify" vertical="top" wrapText="1"/>
    </xf>
    <xf numFmtId="164" fontId="10" fillId="0" borderId="0" xfId="1" applyNumberFormat="1" applyFont="1" applyFill="1" applyBorder="1" applyAlignment="1">
      <alignment horizontal="left" vertical="top" wrapText="1"/>
    </xf>
    <xf numFmtId="2" fontId="11" fillId="0" borderId="0" xfId="3" applyNumberFormat="1" applyFont="1" applyFill="1" applyBorder="1" applyAlignment="1">
      <alignment vertical="top" wrapText="1"/>
    </xf>
    <xf numFmtId="164" fontId="10" fillId="0" borderId="4" xfId="1" applyNumberFormat="1" applyFont="1" applyFill="1" applyBorder="1" applyAlignment="1"/>
    <xf numFmtId="164" fontId="10" fillId="0" borderId="10" xfId="1" applyNumberFormat="1" applyFont="1" applyFill="1" applyBorder="1" applyAlignment="1">
      <alignment horizontal="right"/>
    </xf>
    <xf numFmtId="169" fontId="11" fillId="0" borderId="0" xfId="3" applyNumberFormat="1" applyFont="1" applyFill="1" applyBorder="1" applyAlignment="1"/>
    <xf numFmtId="171" fontId="11" fillId="0" borderId="0" xfId="1" applyNumberFormat="1" applyFont="1" applyFill="1" applyBorder="1" applyAlignment="1"/>
    <xf numFmtId="1" fontId="11" fillId="0" borderId="17" xfId="4" applyNumberFormat="1" applyFont="1" applyBorder="1"/>
    <xf numFmtId="164" fontId="11" fillId="0" borderId="0" xfId="3" applyNumberFormat="1" applyFont="1" applyFill="1" applyBorder="1" applyAlignment="1"/>
    <xf numFmtId="9" fontId="11" fillId="0" borderId="0" xfId="3" applyFont="1" applyFill="1" applyBorder="1" applyAlignment="1">
      <alignment horizontal="left"/>
    </xf>
    <xf numFmtId="164" fontId="11" fillId="0" borderId="10" xfId="1" applyNumberFormat="1" applyFont="1" applyFill="1" applyBorder="1" applyAlignment="1">
      <alignment horizontal="right"/>
    </xf>
    <xf numFmtId="0" fontId="10" fillId="0" borderId="10" xfId="0" applyFont="1" applyBorder="1" applyAlignment="1">
      <alignment horizontal="right"/>
    </xf>
    <xf numFmtId="164" fontId="10" fillId="0" borderId="1" xfId="1" applyNumberFormat="1" applyFont="1" applyFill="1" applyBorder="1" applyAlignment="1">
      <alignment horizontal="center"/>
    </xf>
    <xf numFmtId="164" fontId="10" fillId="0" borderId="16" xfId="1" applyNumberFormat="1" applyFont="1" applyFill="1" applyBorder="1" applyAlignment="1">
      <alignment horizontal="center"/>
    </xf>
    <xf numFmtId="170" fontId="10" fillId="0" borderId="10" xfId="1" applyNumberFormat="1" applyFont="1" applyFill="1" applyBorder="1" applyAlignment="1">
      <alignment horizontal="center"/>
    </xf>
    <xf numFmtId="43" fontId="11" fillId="0" borderId="14" xfId="1" applyFont="1" applyFill="1" applyBorder="1" applyAlignment="1">
      <alignment horizontal="center"/>
    </xf>
    <xf numFmtId="43" fontId="10" fillId="0" borderId="10" xfId="1" applyFont="1" applyFill="1" applyBorder="1" applyAlignment="1">
      <alignment horizontal="center"/>
    </xf>
    <xf numFmtId="164" fontId="10" fillId="0" borderId="10" xfId="1" applyNumberFormat="1" applyFont="1" applyFill="1" applyBorder="1" applyAlignment="1">
      <alignment horizontal="left" wrapText="1"/>
    </xf>
    <xf numFmtId="9" fontId="10" fillId="0" borderId="0" xfId="3" applyFont="1" applyFill="1" applyBorder="1" applyAlignment="1">
      <alignment horizontal="left" wrapText="1"/>
    </xf>
    <xf numFmtId="9" fontId="10" fillId="0" borderId="10" xfId="3" applyFont="1" applyFill="1" applyBorder="1" applyAlignment="1">
      <alignment horizontal="left" wrapText="1"/>
    </xf>
    <xf numFmtId="9" fontId="11" fillId="0" borderId="14" xfId="2" applyFont="1" applyFill="1" applyBorder="1" applyAlignment="1">
      <alignment horizontal="right"/>
    </xf>
    <xf numFmtId="168" fontId="10" fillId="0" borderId="14" xfId="4" applyNumberFormat="1" applyFont="1" applyBorder="1"/>
    <xf numFmtId="0" fontId="10" fillId="0" borderId="14" xfId="4" applyNumberFormat="1" applyFont="1" applyBorder="1" applyAlignment="1">
      <alignment horizontal="center"/>
    </xf>
    <xf numFmtId="9" fontId="11" fillId="0" borderId="0" xfId="3" applyFont="1" applyFill="1" applyBorder="1" applyAlignment="1">
      <alignment horizontal="left" wrapText="1"/>
    </xf>
    <xf numFmtId="0" fontId="10" fillId="0" borderId="17" xfId="4" applyNumberFormat="1" applyFont="1" applyBorder="1" applyAlignment="1">
      <alignment horizontal="center"/>
    </xf>
    <xf numFmtId="0" fontId="10" fillId="0" borderId="10" xfId="4" applyNumberFormat="1" applyFont="1" applyBorder="1" applyAlignment="1">
      <alignment horizontal="center"/>
    </xf>
    <xf numFmtId="9" fontId="11" fillId="0" borderId="0" xfId="3" applyFont="1" applyFill="1" applyBorder="1" applyAlignment="1">
      <alignment horizontal="center"/>
    </xf>
    <xf numFmtId="164" fontId="10" fillId="0" borderId="0" xfId="1" applyNumberFormat="1" applyFont="1" applyFill="1" applyBorder="1" applyAlignment="1">
      <alignment horizontal="center"/>
    </xf>
    <xf numFmtId="164" fontId="11" fillId="0" borderId="14" xfId="1" applyNumberFormat="1" applyFont="1" applyFill="1" applyBorder="1" applyAlignment="1">
      <alignment vertical="top" wrapText="1"/>
    </xf>
    <xf numFmtId="168" fontId="12" fillId="0" borderId="4" xfId="0" applyNumberFormat="1" applyFont="1" applyBorder="1" applyAlignment="1">
      <alignment horizontal="left" vertical="top"/>
    </xf>
    <xf numFmtId="164" fontId="12" fillId="0" borderId="13" xfId="1" applyNumberFormat="1" applyFont="1" applyFill="1" applyBorder="1" applyAlignment="1">
      <alignment horizontal="left" vertical="top"/>
    </xf>
    <xf numFmtId="1" fontId="10" fillId="0" borderId="17" xfId="4" applyNumberFormat="1" applyFont="1" applyBorder="1"/>
    <xf numFmtId="168" fontId="10" fillId="0" borderId="10" xfId="4" applyNumberFormat="1" applyFont="1" applyBorder="1" applyAlignment="1">
      <alignment horizontal="left" wrapText="1"/>
    </xf>
    <xf numFmtId="1" fontId="10" fillId="0" borderId="10" xfId="4" applyNumberFormat="1" applyFont="1" applyBorder="1"/>
    <xf numFmtId="164" fontId="11" fillId="0" borderId="14" xfId="1" applyNumberFormat="1" applyFont="1" applyFill="1" applyBorder="1" applyAlignment="1">
      <alignment vertical="top"/>
    </xf>
    <xf numFmtId="164" fontId="10" fillId="0" borderId="10" xfId="1" applyNumberFormat="1" applyFont="1" applyFill="1" applyBorder="1" applyAlignment="1">
      <alignment vertical="top"/>
    </xf>
    <xf numFmtId="10" fontId="11" fillId="0" borderId="14" xfId="2" applyNumberFormat="1" applyFont="1" applyFill="1" applyBorder="1" applyAlignment="1">
      <alignment horizontal="right"/>
    </xf>
    <xf numFmtId="10" fontId="11" fillId="0" borderId="13" xfId="2" applyNumberFormat="1" applyFont="1" applyFill="1" applyBorder="1" applyAlignment="1">
      <alignment horizontal="right"/>
    </xf>
    <xf numFmtId="10" fontId="11" fillId="0" borderId="17" xfId="2" applyNumberFormat="1" applyFont="1" applyFill="1" applyBorder="1" applyAlignment="1">
      <alignment horizontal="right"/>
    </xf>
    <xf numFmtId="164" fontId="10" fillId="0" borderId="17" xfId="1" applyNumberFormat="1" applyFont="1" applyFill="1" applyBorder="1"/>
    <xf numFmtId="164" fontId="10" fillId="0" borderId="13" xfId="1" applyNumberFormat="1" applyFont="1" applyFill="1" applyBorder="1"/>
    <xf numFmtId="164" fontId="11" fillId="0" borderId="0" xfId="1" applyNumberFormat="1" applyFont="1" applyFill="1" applyBorder="1" applyAlignment="1">
      <alignment horizontal="justify" vertical="top"/>
    </xf>
    <xf numFmtId="164" fontId="10" fillId="0" borderId="17" xfId="1" applyNumberFormat="1" applyFont="1" applyFill="1" applyBorder="1" applyAlignment="1">
      <alignment horizontal="center"/>
    </xf>
    <xf numFmtId="1" fontId="11" fillId="0" borderId="10" xfId="4" applyNumberFormat="1" applyFont="1" applyBorder="1"/>
    <xf numFmtId="164" fontId="11" fillId="0" borderId="0" xfId="1" applyNumberFormat="1" applyFont="1" applyFill="1" applyBorder="1"/>
    <xf numFmtId="164" fontId="11" fillId="0" borderId="0" xfId="1" applyNumberFormat="1" applyFont="1" applyFill="1" applyBorder="1" applyAlignment="1">
      <alignment horizontal="left" vertical="top" wrapText="1"/>
    </xf>
    <xf numFmtId="164" fontId="15" fillId="0" borderId="0" xfId="1" applyNumberFormat="1" applyFont="1" applyFill="1" applyBorder="1" applyAlignment="1">
      <alignment wrapText="1"/>
    </xf>
    <xf numFmtId="164" fontId="11" fillId="0" borderId="0" xfId="1" applyNumberFormat="1" applyFont="1" applyFill="1" applyBorder="1" applyAlignment="1">
      <alignment vertical="top"/>
    </xf>
    <xf numFmtId="164" fontId="0" fillId="0" borderId="0" xfId="0" applyNumberFormat="1"/>
    <xf numFmtId="1" fontId="10" fillId="3" borderId="5" xfId="4" applyNumberFormat="1" applyFont="1" applyFill="1" applyBorder="1" applyAlignment="1">
      <alignment horizontal="center"/>
    </xf>
    <xf numFmtId="164" fontId="10" fillId="3" borderId="11" xfId="1" applyNumberFormat="1" applyFont="1" applyFill="1" applyBorder="1" applyAlignment="1">
      <alignment horizontal="center"/>
    </xf>
    <xf numFmtId="170" fontId="10" fillId="3" borderId="4" xfId="4" applyNumberFormat="1" applyFont="1" applyFill="1" applyBorder="1" applyAlignment="1">
      <alignment horizontal="center" vertical="center" wrapText="1"/>
    </xf>
    <xf numFmtId="164" fontId="10" fillId="3" borderId="13" xfId="1" applyNumberFormat="1" applyFont="1" applyFill="1" applyBorder="1" applyAlignment="1">
      <alignment horizontal="center" vertical="center"/>
    </xf>
    <xf numFmtId="2" fontId="11" fillId="3" borderId="0" xfId="4" applyNumberFormat="1" applyFont="1" applyFill="1" applyAlignment="1">
      <alignment horizontal="center"/>
    </xf>
    <xf numFmtId="164" fontId="11" fillId="3" borderId="14" xfId="1" applyNumberFormat="1" applyFont="1" applyFill="1" applyBorder="1" applyAlignment="1"/>
    <xf numFmtId="164" fontId="11" fillId="3" borderId="14" xfId="1" applyNumberFormat="1" applyFont="1" applyFill="1" applyBorder="1" applyAlignment="1">
      <alignment horizontal="right"/>
    </xf>
    <xf numFmtId="2" fontId="11" fillId="3" borderId="4" xfId="4" applyNumberFormat="1" applyFont="1" applyFill="1" applyBorder="1" applyAlignment="1">
      <alignment horizontal="center"/>
    </xf>
    <xf numFmtId="164" fontId="11" fillId="3" borderId="13" xfId="1" applyNumberFormat="1" applyFont="1" applyFill="1" applyBorder="1" applyAlignment="1"/>
    <xf numFmtId="0" fontId="17" fillId="0" borderId="0" xfId="0" applyFont="1"/>
    <xf numFmtId="0" fontId="2" fillId="0" borderId="1" xfId="0" applyFont="1" applyBorder="1"/>
    <xf numFmtId="0" fontId="0" fillId="0" borderId="14" xfId="0" applyBorder="1"/>
    <xf numFmtId="0" fontId="0" fillId="0" borderId="10" xfId="0" applyBorder="1"/>
    <xf numFmtId="164" fontId="2" fillId="0" borderId="1" xfId="1" applyNumberFormat="1" applyFont="1" applyBorder="1"/>
    <xf numFmtId="0" fontId="2" fillId="0" borderId="0" xfId="0" applyFont="1"/>
    <xf numFmtId="0" fontId="0" fillId="0" borderId="1" xfId="0" applyBorder="1"/>
    <xf numFmtId="173" fontId="0" fillId="0" borderId="17" xfId="8" applyNumberFormat="1" applyFont="1" applyFill="1" applyBorder="1" applyProtection="1">
      <protection hidden="1"/>
    </xf>
    <xf numFmtId="173" fontId="0" fillId="0" borderId="13" xfId="8" applyNumberFormat="1" applyFont="1" applyFill="1" applyBorder="1" applyProtection="1">
      <protection hidden="1"/>
    </xf>
    <xf numFmtId="173" fontId="0" fillId="0" borderId="35" xfId="8" applyNumberFormat="1" applyFont="1" applyFill="1" applyBorder="1" applyProtection="1">
      <protection hidden="1"/>
    </xf>
    <xf numFmtId="173" fontId="0" fillId="0" borderId="1" xfId="8" applyNumberFormat="1" applyFont="1" applyFill="1" applyBorder="1" applyProtection="1">
      <protection hidden="1"/>
    </xf>
    <xf numFmtId="173" fontId="0" fillId="0" borderId="37" xfId="8" applyNumberFormat="1" applyFont="1" applyFill="1" applyBorder="1" applyProtection="1">
      <protection hidden="1"/>
    </xf>
    <xf numFmtId="173" fontId="0" fillId="0" borderId="11" xfId="8" applyNumberFormat="1" applyFont="1" applyFill="1" applyBorder="1" applyProtection="1">
      <protection hidden="1"/>
    </xf>
    <xf numFmtId="173" fontId="0" fillId="0" borderId="39" xfId="8" applyNumberFormat="1" applyFont="1" applyFill="1" applyBorder="1" applyProtection="1">
      <protection hidden="1"/>
    </xf>
    <xf numFmtId="0" fontId="0" fillId="0" borderId="7" xfId="0" applyBorder="1"/>
    <xf numFmtId="173" fontId="0" fillId="0" borderId="1" xfId="8" applyNumberFormat="1" applyFont="1" applyFill="1" applyBorder="1"/>
    <xf numFmtId="0" fontId="2" fillId="0" borderId="0" xfId="0" applyFont="1" applyAlignment="1">
      <alignment wrapText="1"/>
    </xf>
    <xf numFmtId="170" fontId="24" fillId="0" borderId="0" xfId="9" applyFont="1"/>
    <xf numFmtId="170" fontId="24" fillId="0" borderId="0" xfId="9" applyFont="1" applyFill="1"/>
    <xf numFmtId="170" fontId="24" fillId="0" borderId="0" xfId="9" applyFont="1" applyBorder="1"/>
    <xf numFmtId="170" fontId="24" fillId="0" borderId="0" xfId="9" applyFont="1" applyFill="1" applyBorder="1"/>
    <xf numFmtId="170" fontId="26" fillId="0" borderId="0" xfId="9" applyFont="1" applyBorder="1" applyAlignment="1">
      <alignment horizontal="center" vertical="top"/>
    </xf>
    <xf numFmtId="174" fontId="26" fillId="0" borderId="0" xfId="9" applyNumberFormat="1" applyFont="1" applyBorder="1" applyAlignment="1">
      <alignment horizontal="center" vertical="top"/>
    </xf>
    <xf numFmtId="170" fontId="28" fillId="0" borderId="33" xfId="9" applyFont="1" applyBorder="1" applyAlignment="1">
      <alignment horizontal="right" vertical="center"/>
    </xf>
    <xf numFmtId="170" fontId="28" fillId="0" borderId="30" xfId="9" applyFont="1" applyBorder="1" applyAlignment="1">
      <alignment horizontal="right" vertical="center"/>
    </xf>
    <xf numFmtId="170" fontId="28" fillId="0" borderId="34" xfId="9" applyFont="1" applyFill="1" applyBorder="1" applyAlignment="1">
      <alignment horizontal="right" vertical="center"/>
    </xf>
    <xf numFmtId="170" fontId="28" fillId="0" borderId="31" xfId="9" applyFont="1" applyBorder="1" applyAlignment="1">
      <alignment horizontal="center" vertical="center"/>
    </xf>
    <xf numFmtId="170" fontId="28" fillId="0" borderId="31" xfId="9" applyFont="1" applyBorder="1" applyAlignment="1">
      <alignment horizontal="right" vertical="center"/>
    </xf>
    <xf numFmtId="170" fontId="28" fillId="0" borderId="34" xfId="9" applyFont="1" applyBorder="1" applyAlignment="1">
      <alignment horizontal="right" vertical="center"/>
    </xf>
    <xf numFmtId="174" fontId="28" fillId="0" borderId="58" xfId="9" applyNumberFormat="1" applyFont="1" applyBorder="1" applyAlignment="1">
      <alignment horizontal="right" vertical="center"/>
    </xf>
    <xf numFmtId="174" fontId="28" fillId="0" borderId="33" xfId="9" applyNumberFormat="1" applyFont="1" applyBorder="1" applyAlignment="1">
      <alignment horizontal="right" vertical="center"/>
    </xf>
    <xf numFmtId="170" fontId="29" fillId="0" borderId="59" xfId="9" applyFont="1" applyBorder="1" applyAlignment="1">
      <alignment vertical="center"/>
    </xf>
    <xf numFmtId="170" fontId="28" fillId="0" borderId="12" xfId="9" applyFont="1" applyBorder="1" applyAlignment="1">
      <alignment vertical="center"/>
    </xf>
    <xf numFmtId="174" fontId="30" fillId="0" borderId="59" xfId="9" applyNumberFormat="1" applyFont="1" applyBorder="1" applyAlignment="1">
      <alignment vertical="center"/>
    </xf>
    <xf numFmtId="170" fontId="30" fillId="0" borderId="13" xfId="9" applyFont="1" applyBorder="1" applyAlignment="1">
      <alignment vertical="center"/>
    </xf>
    <xf numFmtId="173" fontId="30" fillId="0" borderId="35" xfId="9" applyNumberFormat="1" applyFont="1" applyBorder="1" applyAlignment="1">
      <alignment vertical="center"/>
    </xf>
    <xf numFmtId="170" fontId="29" fillId="0" borderId="12" xfId="9" applyFont="1" applyBorder="1" applyAlignment="1">
      <alignment vertical="center"/>
    </xf>
    <xf numFmtId="170" fontId="30" fillId="0" borderId="60" xfId="9" applyFont="1" applyBorder="1" applyAlignment="1">
      <alignment vertical="center"/>
    </xf>
    <xf numFmtId="174" fontId="24" fillId="0" borderId="17" xfId="9" applyNumberFormat="1" applyFont="1" applyBorder="1" applyAlignment="1">
      <alignment vertical="center"/>
    </xf>
    <xf numFmtId="173" fontId="30" fillId="0" borderId="12" xfId="9" applyNumberFormat="1" applyFont="1" applyBorder="1" applyAlignment="1">
      <alignment vertical="center"/>
    </xf>
    <xf numFmtId="174" fontId="30" fillId="0" borderId="28" xfId="9" applyNumberFormat="1" applyFont="1" applyBorder="1" applyAlignment="1">
      <alignment vertical="center"/>
    </xf>
    <xf numFmtId="170" fontId="30" fillId="0" borderId="20" xfId="9" applyFont="1" applyBorder="1" applyAlignment="1">
      <alignment vertical="center"/>
    </xf>
    <xf numFmtId="173" fontId="24" fillId="0" borderId="37" xfId="9" applyNumberFormat="1" applyFont="1" applyFill="1" applyBorder="1" applyAlignment="1">
      <alignment vertical="center"/>
    </xf>
    <xf numFmtId="170" fontId="29" fillId="0" borderId="0" xfId="9" applyFont="1" applyAlignment="1">
      <alignment vertical="top"/>
    </xf>
    <xf numFmtId="170" fontId="29" fillId="0" borderId="0" xfId="9" applyFont="1" applyFill="1" applyAlignment="1">
      <alignment vertical="top"/>
    </xf>
    <xf numFmtId="170" fontId="29" fillId="0" borderId="61" xfId="9" applyFont="1" applyBorder="1" applyAlignment="1">
      <alignment vertical="center"/>
    </xf>
    <xf numFmtId="170" fontId="30" fillId="0" borderId="62" xfId="9" applyFont="1" applyBorder="1" applyAlignment="1">
      <alignment vertical="center"/>
    </xf>
    <xf numFmtId="170" fontId="30" fillId="0" borderId="61" xfId="9" applyFont="1" applyFill="1" applyBorder="1" applyAlignment="1">
      <alignment vertical="center"/>
    </xf>
    <xf numFmtId="170" fontId="30" fillId="0" borderId="40" xfId="9" applyFont="1" applyBorder="1" applyAlignment="1">
      <alignment vertical="center"/>
    </xf>
    <xf numFmtId="173" fontId="30" fillId="0" borderId="41" xfId="9" applyNumberFormat="1" applyFont="1" applyBorder="1" applyAlignment="1">
      <alignment vertical="center"/>
    </xf>
    <xf numFmtId="174" fontId="30" fillId="0" borderId="61" xfId="9" applyNumberFormat="1" applyFont="1" applyFill="1" applyBorder="1" applyAlignment="1">
      <alignment vertical="center"/>
    </xf>
    <xf numFmtId="170" fontId="29" fillId="0" borderId="62" xfId="9" applyFont="1" applyFill="1" applyBorder="1" applyAlignment="1">
      <alignment vertical="center"/>
    </xf>
    <xf numFmtId="170" fontId="24" fillId="0" borderId="62" xfId="9" applyFont="1" applyFill="1" applyBorder="1" applyAlignment="1">
      <alignment vertical="center"/>
    </xf>
    <xf numFmtId="173" fontId="30" fillId="0" borderId="41" xfId="9" applyNumberFormat="1" applyFont="1" applyFill="1" applyBorder="1" applyAlignment="1">
      <alignment vertical="center"/>
    </xf>
    <xf numFmtId="174" fontId="24" fillId="0" borderId="47" xfId="9" applyNumberFormat="1" applyFont="1" applyFill="1" applyBorder="1" applyAlignment="1">
      <alignment vertical="center"/>
    </xf>
    <xf numFmtId="170" fontId="24" fillId="0" borderId="40" xfId="9" applyFont="1" applyFill="1" applyBorder="1" applyAlignment="1">
      <alignment vertical="center"/>
    </xf>
    <xf numFmtId="173" fontId="24" fillId="0" borderId="62" xfId="9" applyNumberFormat="1" applyFont="1" applyFill="1" applyBorder="1" applyAlignment="1">
      <alignment vertical="center"/>
    </xf>
    <xf numFmtId="174" fontId="30" fillId="0" borderId="44" xfId="9" applyNumberFormat="1" applyFont="1" applyFill="1" applyBorder="1" applyAlignment="1">
      <alignment vertical="center"/>
    </xf>
    <xf numFmtId="173" fontId="30" fillId="0" borderId="47" xfId="9" applyNumberFormat="1" applyFont="1" applyFill="1" applyBorder="1" applyAlignment="1">
      <alignment vertical="center"/>
    </xf>
    <xf numFmtId="170" fontId="28" fillId="0" borderId="62" xfId="9" applyFont="1" applyBorder="1" applyAlignment="1">
      <alignment horizontal="right" vertical="center"/>
    </xf>
    <xf numFmtId="174" fontId="28" fillId="0" borderId="61" xfId="9" applyNumberFormat="1" applyFont="1" applyFill="1" applyBorder="1" applyAlignment="1">
      <alignment vertical="center"/>
    </xf>
    <xf numFmtId="170" fontId="28" fillId="0" borderId="40" xfId="9" applyFont="1" applyBorder="1" applyAlignment="1">
      <alignment vertical="center"/>
    </xf>
    <xf numFmtId="173" fontId="28" fillId="0" borderId="41" xfId="9" applyNumberFormat="1" applyFont="1" applyBorder="1" applyAlignment="1">
      <alignment vertical="center"/>
    </xf>
    <xf numFmtId="174" fontId="28" fillId="0" borderId="61" xfId="9" applyNumberFormat="1" applyFont="1" applyBorder="1" applyAlignment="1">
      <alignment vertical="center"/>
    </xf>
    <xf numFmtId="170" fontId="31" fillId="0" borderId="62" xfId="9" applyFont="1" applyFill="1" applyBorder="1" applyAlignment="1">
      <alignment vertical="center"/>
    </xf>
    <xf numFmtId="173" fontId="32" fillId="0" borderId="44" xfId="9" applyNumberFormat="1" applyFont="1" applyFill="1" applyBorder="1" applyAlignment="1">
      <alignment vertical="center"/>
    </xf>
    <xf numFmtId="174" fontId="32" fillId="0" borderId="47" xfId="9" applyNumberFormat="1" applyFont="1" applyFill="1" applyBorder="1" applyAlignment="1">
      <alignment vertical="center"/>
    </xf>
    <xf numFmtId="170" fontId="32" fillId="0" borderId="40" xfId="9" applyFont="1" applyFill="1" applyBorder="1" applyAlignment="1">
      <alignment vertical="center"/>
    </xf>
    <xf numFmtId="173" fontId="28" fillId="0" borderId="62" xfId="9" applyNumberFormat="1" applyFont="1" applyBorder="1" applyAlignment="1">
      <alignment vertical="center"/>
    </xf>
    <xf numFmtId="174" fontId="28" fillId="0" borderId="44" xfId="9" applyNumberFormat="1" applyFont="1" applyBorder="1" applyAlignment="1">
      <alignment vertical="center"/>
    </xf>
    <xf numFmtId="170" fontId="28" fillId="0" borderId="47" xfId="9" applyFont="1" applyFill="1" applyBorder="1" applyAlignment="1">
      <alignment vertical="center"/>
    </xf>
    <xf numFmtId="170" fontId="33" fillId="0" borderId="12" xfId="9" applyFont="1" applyBorder="1" applyAlignment="1">
      <alignment vertical="center"/>
    </xf>
    <xf numFmtId="170" fontId="30" fillId="0" borderId="59" xfId="9" applyFont="1" applyFill="1" applyBorder="1" applyAlignment="1">
      <alignment vertical="center"/>
    </xf>
    <xf numFmtId="170" fontId="29" fillId="0" borderId="12" xfId="9" applyFont="1" applyFill="1" applyBorder="1" applyAlignment="1">
      <alignment vertical="center"/>
    </xf>
    <xf numFmtId="170" fontId="30" fillId="0" borderId="35" xfId="9" applyFont="1" applyFill="1" applyBorder="1" applyAlignment="1">
      <alignment vertical="center"/>
    </xf>
    <xf numFmtId="174" fontId="29" fillId="0" borderId="17" xfId="9" applyNumberFormat="1" applyFont="1" applyFill="1" applyBorder="1" applyAlignment="1">
      <alignment vertical="center"/>
    </xf>
    <xf numFmtId="170" fontId="29" fillId="0" borderId="13" xfId="9" applyFont="1" applyFill="1" applyBorder="1" applyAlignment="1">
      <alignment vertical="center"/>
    </xf>
    <xf numFmtId="174" fontId="30" fillId="0" borderId="45" xfId="9" applyNumberFormat="1" applyFont="1" applyFill="1" applyBorder="1" applyAlignment="1">
      <alignment vertical="center"/>
    </xf>
    <xf numFmtId="170" fontId="30" fillId="0" borderId="17" xfId="9" applyFont="1" applyBorder="1" applyAlignment="1">
      <alignment vertical="center"/>
    </xf>
    <xf numFmtId="170" fontId="29" fillId="0" borderId="60" xfId="9" applyFont="1" applyBorder="1" applyAlignment="1">
      <alignment vertical="center"/>
    </xf>
    <xf numFmtId="170" fontId="34" fillId="0" borderId="18" xfId="9" applyFont="1" applyBorder="1" applyAlignment="1">
      <alignment vertical="center"/>
    </xf>
    <xf numFmtId="170" fontId="30" fillId="0" borderId="60" xfId="9" applyFont="1" applyFill="1" applyBorder="1" applyAlignment="1">
      <alignment vertical="center"/>
    </xf>
    <xf numFmtId="170" fontId="29" fillId="0" borderId="18" xfId="9" applyFont="1" applyFill="1" applyBorder="1" applyAlignment="1">
      <alignment vertical="center"/>
    </xf>
    <xf numFmtId="170" fontId="30" fillId="0" borderId="37" xfId="9" applyFont="1" applyFill="1" applyBorder="1" applyAlignment="1">
      <alignment vertical="center"/>
    </xf>
    <xf numFmtId="174" fontId="29" fillId="0" borderId="20" xfId="9" applyNumberFormat="1" applyFont="1" applyFill="1" applyBorder="1" applyAlignment="1">
      <alignment vertical="center"/>
    </xf>
    <xf numFmtId="170" fontId="29" fillId="0" borderId="1" xfId="9" applyFont="1" applyFill="1" applyBorder="1" applyAlignment="1">
      <alignment vertical="center"/>
    </xf>
    <xf numFmtId="174" fontId="30" fillId="0" borderId="36" xfId="9" applyNumberFormat="1" applyFont="1" applyFill="1" applyBorder="1" applyAlignment="1">
      <alignment vertical="center"/>
    </xf>
    <xf numFmtId="14" fontId="29" fillId="0" borderId="0" xfId="9" applyNumberFormat="1" applyFont="1" applyFill="1" applyAlignment="1">
      <alignment vertical="top"/>
    </xf>
    <xf numFmtId="173" fontId="35" fillId="0" borderId="37" xfId="9" applyNumberFormat="1" applyFont="1" applyFill="1" applyBorder="1" applyAlignment="1">
      <alignment vertical="center"/>
    </xf>
    <xf numFmtId="170" fontId="36" fillId="0" borderId="60" xfId="9" applyFont="1" applyFill="1" applyBorder="1" applyAlignment="1">
      <alignment vertical="center"/>
    </xf>
    <xf numFmtId="170" fontId="37" fillId="0" borderId="18" xfId="9" applyFont="1" applyFill="1" applyBorder="1" applyAlignment="1">
      <alignment vertical="center"/>
    </xf>
    <xf numFmtId="170" fontId="36" fillId="0" borderId="37" xfId="9" applyFont="1" applyFill="1" applyBorder="1" applyAlignment="1">
      <alignment vertical="center"/>
    </xf>
    <xf numFmtId="174" fontId="37" fillId="0" borderId="20" xfId="9" applyNumberFormat="1" applyFont="1" applyFill="1" applyBorder="1" applyAlignment="1">
      <alignment vertical="center"/>
    </xf>
    <xf numFmtId="170" fontId="37" fillId="0" borderId="1" xfId="9" applyFont="1" applyFill="1" applyBorder="1" applyAlignment="1">
      <alignment vertical="center"/>
    </xf>
    <xf numFmtId="174" fontId="24" fillId="0" borderId="36" xfId="9" applyNumberFormat="1" applyFont="1" applyFill="1" applyBorder="1" applyAlignment="1">
      <alignment vertical="center"/>
    </xf>
    <xf numFmtId="170" fontId="33" fillId="0" borderId="60" xfId="9" applyFont="1" applyBorder="1" applyAlignment="1">
      <alignment vertical="center"/>
    </xf>
    <xf numFmtId="170" fontId="28" fillId="0" borderId="18" xfId="9" applyFont="1" applyBorder="1" applyAlignment="1">
      <alignment vertical="center"/>
    </xf>
    <xf numFmtId="170" fontId="26" fillId="0" borderId="60" xfId="9" applyFont="1" applyFill="1" applyBorder="1" applyAlignment="1">
      <alignment vertical="center"/>
    </xf>
    <xf numFmtId="170" fontId="30" fillId="0" borderId="1" xfId="9" applyFont="1" applyBorder="1" applyAlignment="1">
      <alignment vertical="center"/>
    </xf>
    <xf numFmtId="173" fontId="26" fillId="0" borderId="35" xfId="9" applyNumberFormat="1" applyFont="1" applyBorder="1" applyAlignment="1">
      <alignment vertical="center"/>
    </xf>
    <xf numFmtId="174" fontId="38" fillId="0" borderId="60" xfId="9" applyNumberFormat="1" applyFont="1" applyFill="1" applyBorder="1" applyAlignment="1">
      <alignment vertical="center"/>
    </xf>
    <xf numFmtId="170" fontId="39" fillId="0" borderId="18" xfId="9" applyFont="1" applyBorder="1" applyAlignment="1">
      <alignment vertical="center"/>
    </xf>
    <xf numFmtId="170" fontId="28" fillId="0" borderId="1" xfId="9" applyFont="1" applyBorder="1" applyAlignment="1">
      <alignment vertical="center"/>
    </xf>
    <xf numFmtId="173" fontId="28" fillId="0" borderId="63" xfId="9" applyNumberFormat="1" applyFont="1" applyBorder="1" applyAlignment="1">
      <alignment vertical="center"/>
    </xf>
    <xf numFmtId="174" fontId="28" fillId="0" borderId="20" xfId="9" applyNumberFormat="1" applyFont="1" applyBorder="1" applyAlignment="1">
      <alignment vertical="center"/>
    </xf>
    <xf numFmtId="170" fontId="38" fillId="0" borderId="20" xfId="9" applyFont="1" applyFill="1" applyBorder="1" applyAlignment="1">
      <alignment vertical="center"/>
    </xf>
    <xf numFmtId="173" fontId="28" fillId="0" borderId="12" xfId="9" applyNumberFormat="1" applyFont="1" applyBorder="1" applyAlignment="1">
      <alignment vertical="center"/>
    </xf>
    <xf numFmtId="174" fontId="28" fillId="0" borderId="46" xfId="9" applyNumberFormat="1" applyFont="1" applyFill="1" applyBorder="1" applyAlignment="1">
      <alignment vertical="center"/>
    </xf>
    <xf numFmtId="170" fontId="28" fillId="0" borderId="20" xfId="9" applyFont="1" applyBorder="1" applyAlignment="1">
      <alignment vertical="center"/>
    </xf>
    <xf numFmtId="173" fontId="28" fillId="0" borderId="35" xfId="9" applyNumberFormat="1" applyFont="1" applyBorder="1" applyAlignment="1">
      <alignment vertical="center"/>
    </xf>
    <xf numFmtId="170" fontId="33" fillId="0" borderId="0" xfId="9" applyFont="1" applyFill="1" applyAlignment="1">
      <alignment vertical="top"/>
    </xf>
    <xf numFmtId="170" fontId="33" fillId="0" borderId="0" xfId="9" applyFont="1" applyAlignment="1">
      <alignment vertical="top"/>
    </xf>
    <xf numFmtId="170" fontId="33" fillId="0" borderId="64" xfId="9" applyFont="1" applyBorder="1" applyAlignment="1">
      <alignment vertical="center"/>
    </xf>
    <xf numFmtId="170" fontId="28" fillId="2" borderId="6" xfId="9" applyFont="1" applyFill="1" applyBorder="1" applyAlignment="1">
      <alignment vertical="center"/>
    </xf>
    <xf numFmtId="170" fontId="26" fillId="2" borderId="65" xfId="9" applyFont="1" applyFill="1" applyBorder="1" applyAlignment="1">
      <alignment vertical="center"/>
    </xf>
    <xf numFmtId="170" fontId="30" fillId="2" borderId="11" xfId="9" applyFont="1" applyFill="1" applyBorder="1" applyAlignment="1">
      <alignment vertical="center"/>
    </xf>
    <xf numFmtId="173" fontId="26" fillId="2" borderId="66" xfId="9" applyNumberFormat="1" applyFont="1" applyFill="1" applyBorder="1" applyAlignment="1">
      <alignment vertical="center"/>
    </xf>
    <xf numFmtId="174" fontId="35" fillId="2" borderId="65" xfId="9" applyNumberFormat="1" applyFont="1" applyFill="1" applyBorder="1" applyAlignment="1">
      <alignment vertical="center"/>
    </xf>
    <xf numFmtId="170" fontId="39" fillId="2" borderId="6" xfId="9" applyFont="1" applyFill="1" applyBorder="1" applyAlignment="1">
      <alignment vertical="center"/>
    </xf>
    <xf numFmtId="170" fontId="28" fillId="2" borderId="1" xfId="9" applyFont="1" applyFill="1" applyBorder="1" applyAlignment="1">
      <alignment vertical="center"/>
    </xf>
    <xf numFmtId="173" fontId="30" fillId="2" borderId="43" xfId="9" applyNumberFormat="1" applyFont="1" applyFill="1" applyBorder="1" applyAlignment="1">
      <alignment vertical="center"/>
    </xf>
    <xf numFmtId="174" fontId="30" fillId="2" borderId="60" xfId="9" applyNumberFormat="1" applyFont="1" applyFill="1" applyBorder="1" applyAlignment="1">
      <alignment vertical="center"/>
    </xf>
    <xf numFmtId="170" fontId="35" fillId="2" borderId="20" xfId="9" applyFont="1" applyFill="1" applyBorder="1" applyAlignment="1">
      <alignment vertical="center"/>
    </xf>
    <xf numFmtId="173" fontId="30" fillId="2" borderId="7" xfId="9" applyNumberFormat="1" applyFont="1" applyFill="1" applyBorder="1" applyAlignment="1">
      <alignment vertical="center"/>
    </xf>
    <xf numFmtId="174" fontId="28" fillId="2" borderId="46" xfId="9" applyNumberFormat="1" applyFont="1" applyFill="1" applyBorder="1" applyAlignment="1">
      <alignment vertical="center"/>
    </xf>
    <xf numFmtId="170" fontId="28" fillId="2" borderId="9" xfId="9" applyFont="1" applyFill="1" applyBorder="1" applyAlignment="1">
      <alignment vertical="center"/>
    </xf>
    <xf numFmtId="173" fontId="28" fillId="2" borderId="66" xfId="9" applyNumberFormat="1" applyFont="1" applyFill="1" applyBorder="1" applyAlignment="1">
      <alignment vertical="center"/>
    </xf>
    <xf numFmtId="170" fontId="24" fillId="0" borderId="64" xfId="9" applyFont="1" applyBorder="1" applyAlignment="1">
      <alignment vertical="center"/>
    </xf>
    <xf numFmtId="170" fontId="26" fillId="0" borderId="6" xfId="9" applyFont="1" applyBorder="1" applyAlignment="1">
      <alignment vertical="center"/>
    </xf>
    <xf numFmtId="174" fontId="26" fillId="0" borderId="46" xfId="9" applyNumberFormat="1" applyFont="1" applyBorder="1" applyAlignment="1">
      <alignment vertical="center"/>
    </xf>
    <xf numFmtId="170" fontId="26" fillId="0" borderId="11" xfId="9" applyFont="1" applyBorder="1" applyAlignment="1">
      <alignment vertical="center"/>
    </xf>
    <xf numFmtId="173" fontId="26" fillId="0" borderId="39" xfId="9" applyNumberFormat="1" applyFont="1" applyBorder="1" applyAlignment="1">
      <alignment vertical="center"/>
    </xf>
    <xf numFmtId="174" fontId="28" fillId="0" borderId="46" xfId="9" applyNumberFormat="1" applyFont="1" applyBorder="1" applyAlignment="1">
      <alignment vertical="center"/>
    </xf>
    <xf numFmtId="170" fontId="32" fillId="0" borderId="6" xfId="9" applyFont="1" applyBorder="1" applyAlignment="1">
      <alignment vertical="center"/>
    </xf>
    <xf numFmtId="173" fontId="28" fillId="0" borderId="46" xfId="9" applyNumberFormat="1" applyFont="1" applyBorder="1" applyAlignment="1">
      <alignment vertical="center"/>
    </xf>
    <xf numFmtId="170" fontId="24" fillId="0" borderId="0" xfId="9" applyFont="1" applyFill="1" applyAlignment="1">
      <alignment vertical="top"/>
    </xf>
    <xf numFmtId="170" fontId="24" fillId="0" borderId="0" xfId="9" applyFont="1" applyAlignment="1">
      <alignment vertical="top"/>
    </xf>
    <xf numFmtId="170" fontId="24" fillId="0" borderId="61" xfId="9" applyFont="1" applyBorder="1" applyAlignment="1">
      <alignment vertical="center"/>
    </xf>
    <xf numFmtId="170" fontId="24" fillId="0" borderId="62" xfId="9" applyFont="1" applyBorder="1" applyAlignment="1">
      <alignment vertical="center"/>
    </xf>
    <xf numFmtId="170" fontId="30" fillId="0" borderId="41" xfId="9" applyFont="1" applyBorder="1" applyAlignment="1">
      <alignment vertical="center"/>
    </xf>
    <xf numFmtId="174" fontId="30" fillId="0" borderId="47" xfId="9" applyNumberFormat="1" applyFont="1" applyFill="1" applyBorder="1" applyAlignment="1">
      <alignment vertical="center"/>
    </xf>
    <xf numFmtId="170" fontId="30" fillId="0" borderId="40" xfId="9" applyFont="1" applyFill="1" applyBorder="1" applyAlignment="1">
      <alignment vertical="center"/>
    </xf>
    <xf numFmtId="170" fontId="30" fillId="0" borderId="41" xfId="9" applyFont="1" applyFill="1" applyBorder="1" applyAlignment="1">
      <alignment vertical="center"/>
    </xf>
    <xf numFmtId="174" fontId="24" fillId="0" borderId="44" xfId="9" applyNumberFormat="1" applyFont="1" applyFill="1" applyBorder="1" applyAlignment="1">
      <alignment vertical="center"/>
    </xf>
    <xf numFmtId="170" fontId="30" fillId="0" borderId="47" xfId="9" applyFont="1" applyFill="1" applyBorder="1" applyAlignment="1">
      <alignment vertical="center"/>
    </xf>
    <xf numFmtId="170" fontId="24" fillId="0" borderId="41" xfId="9" applyFont="1" applyFill="1" applyBorder="1" applyAlignment="1">
      <alignment vertical="center"/>
    </xf>
    <xf numFmtId="170" fontId="31" fillId="0" borderId="0" xfId="9" applyFont="1" applyAlignment="1">
      <alignment vertical="top"/>
    </xf>
    <xf numFmtId="170" fontId="0" fillId="0" borderId="59" xfId="9" applyFont="1" applyBorder="1" applyAlignment="1">
      <alignment vertical="center"/>
    </xf>
    <xf numFmtId="170" fontId="24" fillId="0" borderId="12" xfId="9" applyFont="1" applyFill="1" applyBorder="1" applyAlignment="1">
      <alignment vertical="center"/>
    </xf>
    <xf numFmtId="173" fontId="30" fillId="0" borderId="35" xfId="9" applyNumberFormat="1" applyFont="1" applyFill="1" applyBorder="1" applyAlignment="1">
      <alignment vertical="center"/>
    </xf>
    <xf numFmtId="174" fontId="30" fillId="0" borderId="17" xfId="9" applyNumberFormat="1" applyFont="1" applyFill="1" applyBorder="1" applyAlignment="1">
      <alignment vertical="center"/>
    </xf>
    <xf numFmtId="170" fontId="30" fillId="0" borderId="13" xfId="9" applyFont="1" applyFill="1" applyBorder="1" applyAlignment="1">
      <alignment vertical="center"/>
    </xf>
    <xf numFmtId="174" fontId="24" fillId="0" borderId="45" xfId="9" applyNumberFormat="1" applyFont="1" applyFill="1" applyBorder="1" applyAlignment="1">
      <alignment vertical="center"/>
    </xf>
    <xf numFmtId="170" fontId="30" fillId="0" borderId="17" xfId="9" applyFont="1" applyFill="1" applyBorder="1" applyAlignment="1">
      <alignment vertical="center"/>
    </xf>
    <xf numFmtId="170" fontId="24" fillId="0" borderId="60" xfId="9" applyFont="1" applyBorder="1" applyAlignment="1">
      <alignment vertical="center"/>
    </xf>
    <xf numFmtId="170" fontId="24" fillId="0" borderId="18" xfId="9" applyFont="1" applyBorder="1" applyAlignment="1">
      <alignment vertical="center"/>
    </xf>
    <xf numFmtId="170" fontId="28" fillId="0" borderId="37" xfId="9" applyFont="1" applyBorder="1" applyAlignment="1">
      <alignment vertical="center"/>
    </xf>
    <xf numFmtId="170" fontId="24" fillId="0" borderId="18" xfId="9" applyFont="1" applyFill="1" applyBorder="1" applyAlignment="1">
      <alignment vertical="center"/>
    </xf>
    <xf numFmtId="173" fontId="30" fillId="0" borderId="37" xfId="9" applyNumberFormat="1" applyFont="1" applyFill="1" applyBorder="1" applyAlignment="1">
      <alignment vertical="center"/>
    </xf>
    <xf numFmtId="174" fontId="30" fillId="0" borderId="20" xfId="9" applyNumberFormat="1" applyFont="1" applyFill="1" applyBorder="1" applyAlignment="1">
      <alignment vertical="center"/>
    </xf>
    <xf numFmtId="170" fontId="30" fillId="0" borderId="1" xfId="9" applyFont="1" applyFill="1" applyBorder="1" applyAlignment="1">
      <alignment vertical="center"/>
    </xf>
    <xf numFmtId="170" fontId="30" fillId="0" borderId="20" xfId="9" applyFont="1" applyFill="1" applyBorder="1" applyAlignment="1">
      <alignment vertical="center"/>
    </xf>
    <xf numFmtId="170" fontId="24" fillId="0" borderId="37" xfId="9" applyFont="1" applyFill="1" applyBorder="1" applyAlignment="1">
      <alignment vertical="center"/>
    </xf>
    <xf numFmtId="173" fontId="28" fillId="0" borderId="37" xfId="9" applyNumberFormat="1" applyFont="1" applyBorder="1" applyAlignment="1">
      <alignment vertical="center"/>
    </xf>
    <xf numFmtId="170" fontId="0" fillId="0" borderId="18" xfId="9" applyFont="1" applyBorder="1" applyAlignment="1">
      <alignment vertical="center"/>
    </xf>
    <xf numFmtId="170" fontId="30" fillId="0" borderId="35" xfId="9" applyFont="1" applyBorder="1" applyAlignment="1">
      <alignment vertical="center"/>
    </xf>
    <xf numFmtId="170" fontId="28" fillId="0" borderId="37" xfId="9" applyFont="1" applyFill="1" applyBorder="1" applyAlignment="1">
      <alignment vertical="center"/>
    </xf>
    <xf numFmtId="174" fontId="30" fillId="0" borderId="60" xfId="9" applyNumberFormat="1" applyFont="1" applyFill="1" applyBorder="1" applyAlignment="1">
      <alignment vertical="center"/>
    </xf>
    <xf numFmtId="170" fontId="35" fillId="0" borderId="20" xfId="9" applyFont="1" applyFill="1" applyBorder="1" applyAlignment="1">
      <alignment vertical="center"/>
    </xf>
    <xf numFmtId="170" fontId="30" fillId="0" borderId="37" xfId="9" applyFont="1" applyBorder="1" applyAlignment="1">
      <alignment vertical="center"/>
    </xf>
    <xf numFmtId="170" fontId="0" fillId="0" borderId="18" xfId="9" applyFont="1" applyFill="1" applyBorder="1" applyAlignment="1">
      <alignment vertical="center"/>
    </xf>
    <xf numFmtId="170" fontId="24" fillId="0" borderId="20" xfId="9" applyFont="1" applyFill="1" applyBorder="1" applyAlignment="1">
      <alignment vertical="center"/>
    </xf>
    <xf numFmtId="170" fontId="30" fillId="0" borderId="67" xfId="9" applyFont="1" applyFill="1" applyBorder="1" applyAlignment="1">
      <alignment vertical="center"/>
    </xf>
    <xf numFmtId="174" fontId="30" fillId="0" borderId="67" xfId="9" applyNumberFormat="1" applyFont="1" applyFill="1" applyBorder="1" applyAlignment="1">
      <alignment vertical="center"/>
    </xf>
    <xf numFmtId="174" fontId="30" fillId="0" borderId="8" xfId="9" applyNumberFormat="1" applyFont="1" applyFill="1" applyBorder="1" applyAlignment="1">
      <alignment vertical="center"/>
    </xf>
    <xf numFmtId="170" fontId="30" fillId="0" borderId="18" xfId="9" applyFont="1" applyFill="1" applyBorder="1" applyAlignment="1">
      <alignment vertical="center"/>
    </xf>
    <xf numFmtId="170" fontId="40" fillId="0" borderId="60" xfId="9" applyFont="1" applyBorder="1" applyAlignment="1">
      <alignment vertical="center"/>
    </xf>
    <xf numFmtId="170" fontId="26" fillId="0" borderId="18" xfId="9" applyFont="1" applyBorder="1" applyAlignment="1">
      <alignment vertical="center"/>
    </xf>
    <xf numFmtId="170" fontId="26" fillId="0" borderId="67" xfId="9" applyFont="1" applyFill="1" applyBorder="1" applyAlignment="1">
      <alignment vertical="center"/>
    </xf>
    <xf numFmtId="170" fontId="40" fillId="0" borderId="1" xfId="9" applyFont="1" applyBorder="1" applyAlignment="1">
      <alignment vertical="center"/>
    </xf>
    <xf numFmtId="173" fontId="26" fillId="0" borderId="37" xfId="9" applyNumberFormat="1" applyFont="1" applyBorder="1" applyAlignment="1">
      <alignment vertical="center"/>
    </xf>
    <xf numFmtId="170" fontId="26" fillId="0" borderId="18" xfId="9" applyFont="1" applyFill="1" applyBorder="1" applyAlignment="1">
      <alignment vertical="center"/>
    </xf>
    <xf numFmtId="174" fontId="26" fillId="0" borderId="8" xfId="9" applyNumberFormat="1" applyFont="1" applyFill="1" applyBorder="1" applyAlignment="1">
      <alignment vertical="center"/>
    </xf>
    <xf numFmtId="174" fontId="26" fillId="0" borderId="36" xfId="9" applyNumberFormat="1" applyFont="1" applyFill="1" applyBorder="1" applyAlignment="1">
      <alignment vertical="center"/>
    </xf>
    <xf numFmtId="170" fontId="26" fillId="0" borderId="20" xfId="9" applyFont="1" applyFill="1" applyBorder="1" applyAlignment="1">
      <alignment vertical="center"/>
    </xf>
    <xf numFmtId="173" fontId="26" fillId="0" borderId="37" xfId="9" applyNumberFormat="1" applyFont="1" applyFill="1" applyBorder="1" applyAlignment="1">
      <alignment vertical="center"/>
    </xf>
    <xf numFmtId="173" fontId="28" fillId="0" borderId="0" xfId="9" applyNumberFormat="1" applyFont="1" applyFill="1" applyBorder="1" applyAlignment="1">
      <alignment vertical="top"/>
    </xf>
    <xf numFmtId="174" fontId="24" fillId="0" borderId="20" xfId="9" applyNumberFormat="1" applyFont="1" applyFill="1" applyBorder="1" applyAlignment="1">
      <alignment vertical="center"/>
    </xf>
    <xf numFmtId="170" fontId="24" fillId="0" borderId="1" xfId="9" applyFont="1" applyFill="1" applyBorder="1" applyAlignment="1">
      <alignment vertical="center"/>
    </xf>
    <xf numFmtId="173" fontId="30" fillId="0" borderId="37" xfId="9" applyNumberFormat="1" applyFont="1" applyBorder="1" applyAlignment="1">
      <alignment vertical="center"/>
    </xf>
    <xf numFmtId="170" fontId="28" fillId="0" borderId="18" xfId="9" applyFont="1" applyFill="1" applyBorder="1" applyAlignment="1">
      <alignment vertical="center"/>
    </xf>
    <xf numFmtId="173" fontId="24" fillId="0" borderId="37" xfId="9" applyNumberFormat="1" applyFont="1" applyBorder="1" applyAlignment="1">
      <alignment vertical="center"/>
    </xf>
    <xf numFmtId="174" fontId="24" fillId="0" borderId="20" xfId="9" applyNumberFormat="1" applyFont="1" applyBorder="1" applyAlignment="1">
      <alignment vertical="center"/>
    </xf>
    <xf numFmtId="170" fontId="24" fillId="0" borderId="1" xfId="9" applyFont="1" applyBorder="1" applyAlignment="1">
      <alignment vertical="center"/>
    </xf>
    <xf numFmtId="174" fontId="24" fillId="0" borderId="36" xfId="9" applyNumberFormat="1" applyFont="1" applyBorder="1" applyAlignment="1">
      <alignment vertical="center"/>
    </xf>
    <xf numFmtId="170" fontId="24" fillId="0" borderId="20" xfId="9" applyFont="1" applyBorder="1" applyAlignment="1">
      <alignment vertical="center"/>
    </xf>
    <xf numFmtId="170" fontId="24" fillId="0" borderId="6" xfId="9" applyFont="1" applyBorder="1" applyAlignment="1">
      <alignment vertical="center"/>
    </xf>
    <xf numFmtId="170" fontId="24" fillId="0" borderId="11" xfId="9" applyFont="1" applyBorder="1" applyAlignment="1">
      <alignment vertical="center"/>
    </xf>
    <xf numFmtId="170" fontId="24" fillId="0" borderId="39" xfId="9" applyFont="1" applyBorder="1" applyAlignment="1">
      <alignment vertical="center"/>
    </xf>
    <xf numFmtId="170" fontId="30" fillId="0" borderId="64" xfId="9" applyFont="1" applyBorder="1" applyAlignment="1">
      <alignment vertical="center"/>
    </xf>
    <xf numFmtId="170" fontId="29" fillId="0" borderId="6" xfId="9" applyFont="1" applyBorder="1" applyAlignment="1">
      <alignment vertical="center"/>
    </xf>
    <xf numFmtId="173" fontId="29" fillId="0" borderId="39" xfId="9" applyNumberFormat="1" applyFont="1" applyBorder="1" applyAlignment="1">
      <alignment vertical="center"/>
    </xf>
    <xf numFmtId="174" fontId="24" fillId="0" borderId="9" xfId="9" applyNumberFormat="1" applyFont="1" applyBorder="1" applyAlignment="1">
      <alignment vertical="center"/>
    </xf>
    <xf numFmtId="174" fontId="24" fillId="0" borderId="46" xfId="9" applyNumberFormat="1" applyFont="1" applyBorder="1" applyAlignment="1">
      <alignment vertical="center"/>
    </xf>
    <xf numFmtId="170" fontId="24" fillId="0" borderId="9" xfId="9" applyFont="1" applyBorder="1" applyAlignment="1">
      <alignment vertical="center"/>
    </xf>
    <xf numFmtId="170" fontId="41" fillId="0" borderId="61" xfId="9" applyFont="1" applyBorder="1" applyAlignment="1">
      <alignment vertical="center"/>
    </xf>
    <xf numFmtId="170" fontId="41" fillId="0" borderId="62" xfId="9" applyFont="1" applyBorder="1" applyAlignment="1">
      <alignment horizontal="left" vertical="center"/>
    </xf>
    <xf numFmtId="170" fontId="41" fillId="0" borderId="2" xfId="9" applyFont="1" applyBorder="1" applyAlignment="1">
      <alignment vertical="center"/>
    </xf>
    <xf numFmtId="170" fontId="41" fillId="0" borderId="40" xfId="9" applyFont="1" applyBorder="1" applyAlignment="1">
      <alignment vertical="center"/>
    </xf>
    <xf numFmtId="173" fontId="42" fillId="0" borderId="41" xfId="9" applyNumberFormat="1" applyFont="1" applyBorder="1" applyAlignment="1">
      <alignment vertical="center"/>
    </xf>
    <xf numFmtId="170" fontId="42" fillId="0" borderId="2" xfId="9" applyFont="1" applyBorder="1" applyAlignment="1">
      <alignment vertical="center"/>
    </xf>
    <xf numFmtId="170" fontId="42" fillId="0" borderId="62" xfId="9" applyFont="1" applyBorder="1" applyAlignment="1">
      <alignment vertical="center"/>
    </xf>
    <xf numFmtId="174" fontId="42" fillId="0" borderId="3" xfId="9" applyNumberFormat="1" applyFont="1" applyBorder="1" applyAlignment="1">
      <alignment vertical="center"/>
    </xf>
    <xf numFmtId="174" fontId="42" fillId="0" borderId="44" xfId="9" applyNumberFormat="1" applyFont="1" applyBorder="1" applyAlignment="1">
      <alignment vertical="center"/>
    </xf>
    <xf numFmtId="170" fontId="42" fillId="0" borderId="3" xfId="9" applyFont="1" applyBorder="1" applyAlignment="1">
      <alignment vertical="center"/>
    </xf>
    <xf numFmtId="173" fontId="42" fillId="0" borderId="41" xfId="9" applyNumberFormat="1" applyFont="1" applyFill="1" applyBorder="1" applyAlignment="1">
      <alignment vertical="center"/>
    </xf>
    <xf numFmtId="170" fontId="28" fillId="0" borderId="0" xfId="9" applyFont="1" applyFill="1" applyAlignment="1">
      <alignment vertical="top"/>
    </xf>
    <xf numFmtId="170" fontId="28" fillId="0" borderId="0" xfId="9" applyFont="1" applyAlignment="1">
      <alignment vertical="top"/>
    </xf>
    <xf numFmtId="170" fontId="28" fillId="0" borderId="0" xfId="9" applyFont="1" applyBorder="1" applyAlignment="1">
      <alignment vertical="top"/>
    </xf>
    <xf numFmtId="174" fontId="28" fillId="0" borderId="0" xfId="9" applyNumberFormat="1" applyFont="1" applyBorder="1" applyAlignment="1">
      <alignment vertical="top"/>
    </xf>
    <xf numFmtId="170" fontId="28" fillId="0" borderId="0" xfId="9" applyFont="1" applyFill="1" applyBorder="1" applyAlignment="1">
      <alignment vertical="top"/>
    </xf>
    <xf numFmtId="170" fontId="43" fillId="0" borderId="0" xfId="9" applyFont="1" applyFill="1" applyBorder="1"/>
    <xf numFmtId="0" fontId="44" fillId="0" borderId="0" xfId="10" applyFont="1"/>
    <xf numFmtId="170" fontId="45" fillId="0" borderId="0" xfId="9" applyFont="1" applyFill="1" applyBorder="1" applyAlignment="1">
      <alignment vertical="top"/>
    </xf>
    <xf numFmtId="174" fontId="43" fillId="0" borderId="0" xfId="9" applyNumberFormat="1" applyFont="1" applyFill="1" applyBorder="1"/>
    <xf numFmtId="170" fontId="45" fillId="0" borderId="0" xfId="9" applyFont="1" applyFill="1" applyBorder="1"/>
    <xf numFmtId="170" fontId="46" fillId="0" borderId="0" xfId="9" applyFont="1" applyBorder="1" applyAlignment="1">
      <alignment vertical="top"/>
    </xf>
    <xf numFmtId="170" fontId="47" fillId="0" borderId="0" xfId="9" applyFont="1" applyFill="1" applyBorder="1"/>
    <xf numFmtId="170" fontId="46" fillId="0" borderId="0" xfId="9" applyFont="1" applyFill="1" applyBorder="1" applyAlignment="1">
      <alignment vertical="top"/>
    </xf>
    <xf numFmtId="170" fontId="43" fillId="0" borderId="0" xfId="9" applyFont="1" applyFill="1" applyBorder="1" applyAlignment="1">
      <alignment vertical="top"/>
    </xf>
    <xf numFmtId="174" fontId="24" fillId="0" borderId="0" xfId="9" applyNumberFormat="1" applyFont="1"/>
    <xf numFmtId="0" fontId="9" fillId="0" borderId="0" xfId="11"/>
    <xf numFmtId="0" fontId="2" fillId="4" borderId="1" xfId="11" applyFont="1" applyFill="1" applyBorder="1" applyAlignment="1">
      <alignment horizontal="center"/>
    </xf>
    <xf numFmtId="173" fontId="9" fillId="0" borderId="1" xfId="11" applyNumberFormat="1" applyBorder="1" applyAlignment="1">
      <alignment vertical="center"/>
    </xf>
    <xf numFmtId="0" fontId="9" fillId="0" borderId="1" xfId="11" applyBorder="1" applyAlignment="1">
      <alignment horizontal="center" vertical="center"/>
    </xf>
    <xf numFmtId="0" fontId="9" fillId="0" borderId="1" xfId="11" applyBorder="1" applyAlignment="1">
      <alignment vertical="center"/>
    </xf>
    <xf numFmtId="173" fontId="9" fillId="0" borderId="0" xfId="11" applyNumberFormat="1"/>
    <xf numFmtId="173" fontId="2" fillId="0" borderId="0" xfId="11" applyNumberFormat="1" applyFont="1"/>
    <xf numFmtId="0" fontId="2" fillId="4" borderId="1" xfId="11" applyFont="1" applyFill="1" applyBorder="1" applyAlignment="1">
      <alignment vertical="center"/>
    </xf>
    <xf numFmtId="173" fontId="2" fillId="4" borderId="1" xfId="11" applyNumberFormat="1" applyFont="1" applyFill="1" applyBorder="1" applyAlignment="1">
      <alignment vertical="center"/>
    </xf>
    <xf numFmtId="0" fontId="2" fillId="0" borderId="0" xfId="11" applyFont="1"/>
    <xf numFmtId="168" fontId="52" fillId="0" borderId="0" xfId="12" applyNumberFormat="1" applyFont="1" applyAlignment="1">
      <alignment horizontal="center"/>
    </xf>
    <xf numFmtId="43" fontId="52" fillId="0" borderId="0" xfId="1" applyFont="1" applyFill="1" applyBorder="1" applyAlignment="1">
      <alignment horizontal="center"/>
    </xf>
    <xf numFmtId="43" fontId="0" fillId="0" borderId="0" xfId="1" applyFont="1" applyFill="1" applyBorder="1"/>
    <xf numFmtId="168" fontId="53" fillId="0" borderId="0" xfId="12" applyNumberFormat="1" applyFont="1"/>
    <xf numFmtId="168" fontId="54" fillId="0" borderId="0" xfId="12" applyNumberFormat="1" applyFont="1"/>
    <xf numFmtId="173" fontId="54" fillId="0" borderId="0" xfId="13" applyNumberFormat="1" applyFont="1"/>
    <xf numFmtId="43" fontId="54" fillId="0" borderId="0" xfId="1" applyFont="1"/>
    <xf numFmtId="168" fontId="55" fillId="0" borderId="18" xfId="12" applyNumberFormat="1" applyFont="1" applyBorder="1"/>
    <xf numFmtId="168" fontId="56" fillId="0" borderId="8" xfId="14" applyNumberFormat="1" applyFont="1" applyBorder="1"/>
    <xf numFmtId="168" fontId="56" fillId="0" borderId="20" xfId="14" applyNumberFormat="1" applyFont="1" applyBorder="1"/>
    <xf numFmtId="174" fontId="55" fillId="0" borderId="1" xfId="13" applyNumberFormat="1" applyFont="1" applyBorder="1"/>
    <xf numFmtId="168" fontId="56" fillId="0" borderId="1" xfId="14" applyNumberFormat="1" applyFont="1" applyBorder="1"/>
    <xf numFmtId="176" fontId="55" fillId="0" borderId="1" xfId="1" applyNumberFormat="1" applyFont="1" applyBorder="1"/>
    <xf numFmtId="43" fontId="55" fillId="0" borderId="1" xfId="1" applyFont="1" applyBorder="1"/>
    <xf numFmtId="168" fontId="52" fillId="0" borderId="18" xfId="12" applyNumberFormat="1" applyFont="1" applyBorder="1"/>
    <xf numFmtId="168" fontId="54" fillId="0" borderId="8" xfId="14" applyNumberFormat="1" applyFont="1" applyBorder="1"/>
    <xf numFmtId="168" fontId="54" fillId="0" borderId="20" xfId="14" applyNumberFormat="1" applyFont="1" applyBorder="1"/>
    <xf numFmtId="173" fontId="52" fillId="0" borderId="1" xfId="13" applyNumberFormat="1" applyFont="1" applyBorder="1" applyAlignment="1">
      <alignment horizontal="right"/>
    </xf>
    <xf numFmtId="168" fontId="54" fillId="0" borderId="1" xfId="14" applyNumberFormat="1" applyFont="1" applyBorder="1"/>
    <xf numFmtId="43" fontId="52" fillId="0" borderId="1" xfId="1" applyFont="1" applyBorder="1" applyAlignment="1">
      <alignment horizontal="right"/>
    </xf>
    <xf numFmtId="168" fontId="54" fillId="0" borderId="6" xfId="12" applyNumberFormat="1" applyFont="1" applyBorder="1"/>
    <xf numFmtId="168" fontId="54" fillId="0" borderId="5" xfId="14" applyNumberFormat="1" applyFont="1" applyBorder="1"/>
    <xf numFmtId="168" fontId="54" fillId="0" borderId="9" xfId="14" applyNumberFormat="1" applyFont="1" applyBorder="1"/>
    <xf numFmtId="173" fontId="54" fillId="0" borderId="11" xfId="13" applyNumberFormat="1" applyFont="1" applyBorder="1"/>
    <xf numFmtId="168" fontId="54" fillId="0" borderId="11" xfId="14" applyNumberFormat="1" applyFont="1" applyBorder="1"/>
    <xf numFmtId="43" fontId="54" fillId="0" borderId="11" xfId="1" applyFont="1" applyBorder="1"/>
    <xf numFmtId="170" fontId="0" fillId="0" borderId="10" xfId="0" applyNumberFormat="1" applyBorder="1"/>
    <xf numFmtId="43" fontId="54" fillId="0" borderId="14" xfId="1" applyFont="1" applyBorder="1"/>
    <xf numFmtId="168" fontId="54" fillId="0" borderId="7" xfId="12" applyNumberFormat="1" applyFont="1" applyBorder="1"/>
    <xf numFmtId="168" fontId="54" fillId="0" borderId="0" xfId="14" applyNumberFormat="1" applyFont="1"/>
    <xf numFmtId="168" fontId="54" fillId="0" borderId="10" xfId="14" applyNumberFormat="1" applyFont="1" applyBorder="1"/>
    <xf numFmtId="173" fontId="54" fillId="0" borderId="14" xfId="13" applyNumberFormat="1" applyFont="1" applyBorder="1"/>
    <xf numFmtId="168" fontId="54" fillId="0" borderId="14" xfId="14" applyNumberFormat="1" applyFont="1" applyBorder="1"/>
    <xf numFmtId="43" fontId="0" fillId="0" borderId="14" xfId="1" applyFont="1" applyBorder="1"/>
    <xf numFmtId="168" fontId="54" fillId="0" borderId="10" xfId="12" applyNumberFormat="1" applyFont="1" applyBorder="1"/>
    <xf numFmtId="168" fontId="54" fillId="0" borderId="14" xfId="12" applyNumberFormat="1" applyFont="1" applyBorder="1"/>
    <xf numFmtId="168" fontId="52" fillId="0" borderId="7" xfId="12" applyNumberFormat="1" applyFont="1" applyBorder="1"/>
    <xf numFmtId="168" fontId="52" fillId="0" borderId="19" xfId="12" applyNumberFormat="1" applyFont="1" applyBorder="1"/>
    <xf numFmtId="168" fontId="52" fillId="0" borderId="68" xfId="14" applyNumberFormat="1" applyFont="1" applyBorder="1"/>
    <xf numFmtId="168" fontId="52" fillId="0" borderId="15" xfId="14" applyNumberFormat="1" applyFont="1" applyBorder="1"/>
    <xf numFmtId="168" fontId="52" fillId="0" borderId="16" xfId="14" applyNumberFormat="1" applyFont="1" applyBorder="1"/>
    <xf numFmtId="43" fontId="52" fillId="0" borderId="16" xfId="1" applyFont="1" applyBorder="1"/>
    <xf numFmtId="168" fontId="52" fillId="0" borderId="0" xfId="12" applyNumberFormat="1" applyFont="1"/>
    <xf numFmtId="43" fontId="52" fillId="0" borderId="0" xfId="1" applyFont="1"/>
    <xf numFmtId="176" fontId="52" fillId="0" borderId="0" xfId="1" applyNumberFormat="1" applyFont="1"/>
    <xf numFmtId="164" fontId="54" fillId="0" borderId="0" xfId="1" applyNumberFormat="1" applyFont="1"/>
    <xf numFmtId="164" fontId="52" fillId="0" borderId="0" xfId="1" applyNumberFormat="1" applyFont="1"/>
    <xf numFmtId="0" fontId="0" fillId="2" borderId="0" xfId="0" applyFill="1" applyAlignment="1">
      <alignment horizontal="left"/>
    </xf>
    <xf numFmtId="0" fontId="0" fillId="2" borderId="0" xfId="0" applyFill="1"/>
    <xf numFmtId="0" fontId="11" fillId="0" borderId="14" xfId="0" applyFont="1" applyBorder="1" applyAlignment="1">
      <alignment vertical="center" wrapText="1"/>
    </xf>
    <xf numFmtId="0" fontId="11" fillId="0" borderId="7" xfId="0" applyFont="1" applyBorder="1" applyAlignment="1">
      <alignment vertical="center" wrapText="1"/>
    </xf>
    <xf numFmtId="1" fontId="10" fillId="0" borderId="7" xfId="4" applyNumberFormat="1" applyFont="1" applyBorder="1" applyAlignment="1">
      <alignment horizontal="center"/>
    </xf>
    <xf numFmtId="0" fontId="11" fillId="0" borderId="10" xfId="0" applyFont="1" applyBorder="1" applyAlignment="1">
      <alignment horizontal="left" vertical="top" wrapText="1"/>
    </xf>
    <xf numFmtId="0" fontId="10" fillId="0" borderId="10" xfId="0" applyFont="1" applyBorder="1" applyAlignment="1">
      <alignment horizontal="left" vertical="center" wrapText="1"/>
    </xf>
    <xf numFmtId="0" fontId="10" fillId="0" borderId="7" xfId="0" applyFont="1" applyBorder="1" applyAlignment="1">
      <alignment horizontal="center" vertical="center" wrapText="1"/>
    </xf>
    <xf numFmtId="0" fontId="10" fillId="0" borderId="4" xfId="0" applyFont="1" applyBorder="1" applyAlignment="1">
      <alignment vertical="center"/>
    </xf>
    <xf numFmtId="0" fontId="10" fillId="0" borderId="4" xfId="0" applyFont="1" applyBorder="1" applyAlignment="1">
      <alignment horizontal="left" vertical="center" wrapText="1"/>
    </xf>
    <xf numFmtId="43" fontId="0" fillId="0" borderId="1" xfId="1" applyFont="1" applyBorder="1"/>
    <xf numFmtId="0" fontId="0" fillId="0" borderId="11" xfId="0" applyBorder="1"/>
    <xf numFmtId="43" fontId="0" fillId="0" borderId="11" xfId="1" applyFont="1" applyBorder="1"/>
    <xf numFmtId="0" fontId="2" fillId="0" borderId="16" xfId="0" applyFont="1" applyBorder="1"/>
    <xf numFmtId="43" fontId="2" fillId="0" borderId="16" xfId="1" applyFont="1" applyBorder="1"/>
    <xf numFmtId="0" fontId="0" fillId="0" borderId="0" xfId="0" applyAlignment="1">
      <alignment wrapText="1"/>
    </xf>
    <xf numFmtId="43" fontId="0" fillId="0" borderId="68" xfId="1" applyFont="1" applyBorder="1"/>
    <xf numFmtId="43" fontId="0" fillId="0" borderId="0" xfId="1" applyFont="1" applyAlignment="1">
      <alignment vertical="center"/>
    </xf>
    <xf numFmtId="0" fontId="2" fillId="0" borderId="51" xfId="0" applyFont="1" applyBorder="1" applyAlignment="1">
      <alignment horizontal="center"/>
    </xf>
    <xf numFmtId="0" fontId="2" fillId="0" borderId="52" xfId="0" applyFont="1" applyBorder="1" applyAlignment="1">
      <alignment horizontal="center"/>
    </xf>
    <xf numFmtId="0" fontId="2" fillId="0" borderId="53" xfId="0" applyFont="1" applyBorder="1"/>
    <xf numFmtId="0" fontId="0" fillId="0" borderId="60" xfId="0" applyBorder="1" applyAlignment="1">
      <alignment shrinkToFit="1"/>
    </xf>
    <xf numFmtId="14" fontId="0" fillId="0" borderId="1" xfId="0" applyNumberFormat="1" applyBorder="1" applyAlignment="1">
      <alignment shrinkToFit="1"/>
    </xf>
    <xf numFmtId="0" fontId="0" fillId="0" borderId="1" xfId="0" applyBorder="1" applyAlignment="1">
      <alignment shrinkToFit="1"/>
    </xf>
    <xf numFmtId="0" fontId="2" fillId="0" borderId="33" xfId="0" applyFont="1" applyBorder="1" applyAlignment="1">
      <alignment horizontal="right"/>
    </xf>
    <xf numFmtId="0" fontId="2" fillId="0" borderId="30" xfId="0" applyFont="1" applyBorder="1" applyAlignment="1">
      <alignment horizontal="right"/>
    </xf>
    <xf numFmtId="0" fontId="2" fillId="0" borderId="34" xfId="0" applyFont="1" applyBorder="1" applyAlignment="1">
      <alignment horizontal="right"/>
    </xf>
    <xf numFmtId="0" fontId="0" fillId="0" borderId="60" xfId="0" applyBorder="1" applyAlignment="1">
      <alignment wrapText="1" shrinkToFit="1"/>
    </xf>
    <xf numFmtId="43" fontId="0" fillId="0" borderId="1" xfId="1" applyFont="1" applyBorder="1" applyAlignment="1">
      <alignment shrinkToFit="1"/>
    </xf>
    <xf numFmtId="43" fontId="0" fillId="0" borderId="37" xfId="1" applyFont="1" applyBorder="1" applyAlignment="1">
      <alignment shrinkToFit="1"/>
    </xf>
    <xf numFmtId="0" fontId="2" fillId="0" borderId="7" xfId="0" applyFont="1" applyBorder="1" applyAlignment="1">
      <alignment horizontal="center" vertical="top" wrapText="1"/>
    </xf>
    <xf numFmtId="0" fontId="2" fillId="0" borderId="0" xfId="0" applyFont="1" applyAlignment="1">
      <alignment horizontal="center" vertical="top" wrapText="1"/>
    </xf>
    <xf numFmtId="0" fontId="2" fillId="0" borderId="10" xfId="0" applyFont="1" applyBorder="1" applyAlignment="1">
      <alignment horizontal="center" vertical="top" wrapText="1"/>
    </xf>
    <xf numFmtId="14" fontId="0" fillId="0" borderId="0" xfId="0" applyNumberFormat="1"/>
    <xf numFmtId="177" fontId="1" fillId="0" borderId="0" xfId="15" applyFont="1" applyFill="1" applyBorder="1" applyAlignment="1">
      <alignment horizontal="center"/>
    </xf>
    <xf numFmtId="177" fontId="0" fillId="0" borderId="0" xfId="15" applyFont="1" applyFill="1" applyBorder="1"/>
    <xf numFmtId="177" fontId="0" fillId="0" borderId="10" xfId="15" applyFont="1" applyFill="1" applyBorder="1"/>
    <xf numFmtId="177" fontId="0" fillId="0" borderId="0" xfId="0" applyNumberFormat="1"/>
    <xf numFmtId="177" fontId="1" fillId="0" borderId="0" xfId="15" applyFont="1" applyFill="1" applyBorder="1"/>
    <xf numFmtId="177" fontId="1" fillId="0" borderId="0" xfId="15" applyFont="1" applyBorder="1"/>
    <xf numFmtId="177" fontId="1" fillId="0" borderId="0" xfId="15" applyFont="1" applyBorder="1" applyAlignment="1">
      <alignment horizontal="center"/>
    </xf>
    <xf numFmtId="177" fontId="0" fillId="0" borderId="0" xfId="15" applyFont="1" applyBorder="1"/>
    <xf numFmtId="177" fontId="0" fillId="0" borderId="10" xfId="15" applyFont="1" applyBorder="1"/>
    <xf numFmtId="0" fontId="2" fillId="0" borderId="12" xfId="0" applyFont="1" applyBorder="1"/>
    <xf numFmtId="177" fontId="0" fillId="0" borderId="12" xfId="15" applyFont="1" applyBorder="1"/>
    <xf numFmtId="0" fontId="2" fillId="0" borderId="19" xfId="0" applyFont="1" applyBorder="1"/>
    <xf numFmtId="0" fontId="2" fillId="0" borderId="68" xfId="0" applyFont="1" applyBorder="1"/>
    <xf numFmtId="177" fontId="2" fillId="0" borderId="68" xfId="15" applyFont="1" applyBorder="1"/>
    <xf numFmtId="177" fontId="2" fillId="0" borderId="69" xfId="15" applyFont="1" applyBorder="1"/>
    <xf numFmtId="177" fontId="2" fillId="0" borderId="15" xfId="15" applyFont="1" applyBorder="1"/>
    <xf numFmtId="0" fontId="0" fillId="0" borderId="70" xfId="0" applyBorder="1"/>
    <xf numFmtId="178" fontId="0" fillId="0" borderId="0" xfId="0" applyNumberFormat="1"/>
    <xf numFmtId="177" fontId="0" fillId="0" borderId="70" xfId="0" applyNumberFormat="1" applyBorder="1"/>
    <xf numFmtId="177" fontId="0" fillId="0" borderId="7" xfId="0" applyNumberFormat="1" applyBorder="1"/>
    <xf numFmtId="0" fontId="0" fillId="0" borderId="4" xfId="0" applyBorder="1"/>
    <xf numFmtId="0" fontId="2" fillId="0" borderId="4" xfId="0" applyFont="1" applyBorder="1"/>
    <xf numFmtId="177" fontId="0" fillId="0" borderId="10" xfId="0" applyNumberFormat="1" applyBorder="1"/>
    <xf numFmtId="177" fontId="2" fillId="0" borderId="68" xfId="0" applyNumberFormat="1" applyFont="1" applyBorder="1"/>
    <xf numFmtId="178" fontId="2" fillId="0" borderId="0" xfId="0" applyNumberFormat="1" applyFont="1"/>
    <xf numFmtId="0" fontId="2" fillId="0" borderId="7" xfId="0" applyFont="1" applyBorder="1"/>
    <xf numFmtId="177" fontId="2" fillId="0" borderId="0" xfId="0" applyNumberFormat="1" applyFont="1"/>
    <xf numFmtId="0" fontId="0" fillId="0" borderId="12" xfId="0" applyBorder="1"/>
    <xf numFmtId="178" fontId="2" fillId="0" borderId="4" xfId="0" applyNumberFormat="1" applyFont="1" applyBorder="1"/>
    <xf numFmtId="177" fontId="0" fillId="0" borderId="4" xfId="0" applyNumberFormat="1" applyBorder="1"/>
    <xf numFmtId="0" fontId="0" fillId="0" borderId="17" xfId="0" applyBorder="1"/>
    <xf numFmtId="178" fontId="2" fillId="0" borderId="68" xfId="0" applyNumberFormat="1" applyFont="1" applyBorder="1"/>
    <xf numFmtId="170" fontId="33" fillId="3" borderId="1" xfId="9" applyFont="1" applyFill="1" applyBorder="1" applyAlignment="1">
      <alignment vertical="top"/>
    </xf>
    <xf numFmtId="14" fontId="29" fillId="3" borderId="1" xfId="9" applyNumberFormat="1" applyFont="1" applyFill="1" applyBorder="1" applyAlignment="1">
      <alignment vertical="top"/>
    </xf>
    <xf numFmtId="170" fontId="29" fillId="3" borderId="1" xfId="9" applyFont="1" applyFill="1" applyBorder="1" applyAlignment="1">
      <alignment vertical="top"/>
    </xf>
    <xf numFmtId="0" fontId="57" fillId="0" borderId="0" xfId="0" applyFont="1"/>
    <xf numFmtId="43" fontId="0" fillId="0" borderId="0" xfId="1" applyFont="1" applyFill="1"/>
    <xf numFmtId="0" fontId="2" fillId="0" borderId="1" xfId="0" applyFont="1" applyBorder="1" applyAlignment="1">
      <alignment horizontal="center"/>
    </xf>
    <xf numFmtId="164" fontId="0" fillId="0" borderId="1" xfId="1" applyNumberFormat="1" applyFont="1" applyBorder="1"/>
    <xf numFmtId="164" fontId="0" fillId="2" borderId="1" xfId="1" applyNumberFormat="1" applyFont="1" applyFill="1" applyBorder="1"/>
    <xf numFmtId="43" fontId="2" fillId="0" borderId="1" xfId="1" applyFont="1" applyBorder="1" applyAlignment="1">
      <alignment horizontal="center"/>
    </xf>
    <xf numFmtId="1" fontId="10" fillId="0" borderId="1" xfId="4" applyNumberFormat="1" applyFont="1" applyBorder="1" applyAlignment="1">
      <alignment horizontal="center" vertical="center" wrapText="1"/>
    </xf>
    <xf numFmtId="0" fontId="11" fillId="0" borderId="11" xfId="0" applyFont="1" applyBorder="1" applyAlignment="1">
      <alignment vertical="center" wrapText="1"/>
    </xf>
    <xf numFmtId="176" fontId="10" fillId="0" borderId="11" xfId="1" applyNumberFormat="1" applyFont="1" applyFill="1" applyBorder="1" applyAlignment="1">
      <alignment horizontal="center"/>
    </xf>
    <xf numFmtId="43" fontId="10" fillId="0" borderId="11" xfId="1" applyFont="1" applyFill="1" applyBorder="1" applyAlignment="1">
      <alignment horizontal="center"/>
    </xf>
    <xf numFmtId="176" fontId="11" fillId="0" borderId="11" xfId="1" applyNumberFormat="1" applyFont="1" applyFill="1" applyBorder="1" applyAlignment="1">
      <alignment horizontal="right"/>
    </xf>
    <xf numFmtId="43" fontId="11" fillId="0" borderId="11" xfId="1" applyFont="1" applyFill="1" applyBorder="1" applyAlignment="1">
      <alignment horizontal="right"/>
    </xf>
    <xf numFmtId="0" fontId="10" fillId="0" borderId="1" xfId="0" applyFont="1" applyBorder="1" applyAlignment="1">
      <alignment vertical="center" wrapText="1"/>
    </xf>
    <xf numFmtId="176" fontId="10" fillId="0" borderId="1" xfId="0" applyNumberFormat="1" applyFont="1" applyBorder="1" applyAlignment="1">
      <alignment vertical="center" wrapText="1"/>
    </xf>
    <xf numFmtId="43" fontId="10" fillId="0" borderId="1" xfId="0" applyNumberFormat="1" applyFont="1" applyBorder="1" applyAlignment="1">
      <alignment vertical="center" wrapText="1"/>
    </xf>
    <xf numFmtId="0" fontId="10" fillId="0" borderId="14" xfId="0" applyFont="1" applyBorder="1" applyAlignment="1">
      <alignment vertical="center" wrapText="1"/>
    </xf>
    <xf numFmtId="176" fontId="10" fillId="0" borderId="14" xfId="0" applyNumberFormat="1" applyFont="1" applyBorder="1" applyAlignment="1">
      <alignment vertical="center" wrapText="1"/>
    </xf>
    <xf numFmtId="43" fontId="10" fillId="0" borderId="14" xfId="0" applyNumberFormat="1" applyFont="1" applyBorder="1" applyAlignment="1">
      <alignment vertical="center" wrapText="1"/>
    </xf>
    <xf numFmtId="164" fontId="10" fillId="0" borderId="14" xfId="1" applyNumberFormat="1" applyFont="1" applyFill="1" applyBorder="1" applyAlignment="1">
      <alignment vertical="center" wrapText="1"/>
    </xf>
    <xf numFmtId="180" fontId="0" fillId="0" borderId="0" xfId="1" applyNumberFormat="1" applyFont="1"/>
    <xf numFmtId="9" fontId="10" fillId="0" borderId="14" xfId="2" applyFont="1" applyFill="1" applyBorder="1" applyAlignment="1">
      <alignment vertical="center" wrapText="1"/>
    </xf>
    <xf numFmtId="176" fontId="10" fillId="0" borderId="14" xfId="1" applyNumberFormat="1" applyFont="1" applyFill="1" applyBorder="1" applyAlignment="1">
      <alignment horizontal="center"/>
    </xf>
    <xf numFmtId="43" fontId="10" fillId="0" borderId="14" xfId="1" applyFont="1" applyFill="1" applyBorder="1" applyAlignment="1">
      <alignment horizontal="center"/>
    </xf>
    <xf numFmtId="176" fontId="11" fillId="0" borderId="14" xfId="1" applyNumberFormat="1" applyFont="1" applyFill="1" applyBorder="1" applyAlignment="1">
      <alignment horizontal="right"/>
    </xf>
    <xf numFmtId="0" fontId="11" fillId="0" borderId="14" xfId="0" applyFont="1" applyBorder="1" applyAlignment="1">
      <alignment horizontal="left" vertical="top" wrapText="1"/>
    </xf>
    <xf numFmtId="176" fontId="10" fillId="0" borderId="1" xfId="1" applyNumberFormat="1" applyFont="1" applyFill="1" applyBorder="1" applyAlignment="1">
      <alignment horizontal="center"/>
    </xf>
    <xf numFmtId="43" fontId="10" fillId="0" borderId="1" xfId="1" applyFont="1" applyFill="1" applyBorder="1" applyAlignment="1">
      <alignment horizontal="center"/>
    </xf>
    <xf numFmtId="164" fontId="11" fillId="0" borderId="1" xfId="1" applyNumberFormat="1" applyFont="1" applyFill="1" applyBorder="1" applyAlignment="1">
      <alignment horizontal="right"/>
    </xf>
    <xf numFmtId="176" fontId="11" fillId="0" borderId="1" xfId="0" applyNumberFormat="1" applyFont="1" applyBorder="1" applyAlignment="1">
      <alignment vertical="center" wrapText="1"/>
    </xf>
    <xf numFmtId="43" fontId="11" fillId="0" borderId="1" xfId="0" applyNumberFormat="1" applyFont="1" applyBorder="1" applyAlignment="1">
      <alignment vertical="center" wrapText="1"/>
    </xf>
    <xf numFmtId="0" fontId="10" fillId="0" borderId="1" xfId="0" applyFont="1" applyBorder="1" applyAlignment="1">
      <alignment vertical="center"/>
    </xf>
    <xf numFmtId="43" fontId="11" fillId="0" borderId="1" xfId="1" applyFont="1" applyFill="1" applyBorder="1" applyAlignment="1">
      <alignment vertical="center" wrapText="1"/>
    </xf>
    <xf numFmtId="43" fontId="11" fillId="0" borderId="14" xfId="1" applyFont="1" applyFill="1" applyBorder="1" applyAlignment="1">
      <alignment vertical="center" wrapText="1"/>
    </xf>
    <xf numFmtId="0" fontId="11" fillId="0" borderId="1" xfId="0" applyFont="1" applyBorder="1" applyAlignment="1">
      <alignment vertical="center" wrapText="1"/>
    </xf>
    <xf numFmtId="176" fontId="10" fillId="0" borderId="1" xfId="1" applyNumberFormat="1" applyFont="1" applyFill="1" applyBorder="1" applyAlignment="1">
      <alignment vertical="center" wrapText="1"/>
    </xf>
    <xf numFmtId="0" fontId="11" fillId="0" borderId="14" xfId="0" applyFont="1" applyBorder="1" applyAlignment="1">
      <alignment vertical="center"/>
    </xf>
    <xf numFmtId="164" fontId="0" fillId="0" borderId="0" xfId="1" applyNumberFormat="1" applyFont="1"/>
    <xf numFmtId="49" fontId="0" fillId="0" borderId="1" xfId="0" applyNumberFormat="1" applyBorder="1"/>
    <xf numFmtId="43" fontId="2" fillId="0" borderId="1" xfId="1" applyFont="1" applyBorder="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168" fontId="59" fillId="0" borderId="7" xfId="16" applyNumberFormat="1" applyFont="1" applyBorder="1" applyAlignment="1">
      <alignment horizontal="center"/>
    </xf>
    <xf numFmtId="168" fontId="59" fillId="0" borderId="0" xfId="16" applyNumberFormat="1" applyFont="1" applyAlignment="1">
      <alignment horizontal="center"/>
    </xf>
    <xf numFmtId="173" fontId="59" fillId="0" borderId="0" xfId="17" applyNumberFormat="1" applyFont="1" applyFill="1" applyBorder="1" applyAlignment="1">
      <alignment horizontal="center"/>
    </xf>
    <xf numFmtId="168" fontId="59" fillId="0" borderId="10" xfId="16" applyNumberFormat="1" applyFont="1" applyBorder="1" applyAlignment="1">
      <alignment horizontal="center"/>
    </xf>
    <xf numFmtId="168" fontId="59" fillId="0" borderId="12" xfId="16" applyNumberFormat="1" applyFont="1" applyBorder="1" applyAlignment="1">
      <alignment horizontal="center"/>
    </xf>
    <xf numFmtId="168" fontId="59" fillId="0" borderId="4" xfId="16" applyNumberFormat="1" applyFont="1" applyBorder="1" applyAlignment="1">
      <alignment horizontal="center"/>
    </xf>
    <xf numFmtId="173" fontId="59" fillId="0" borderId="4" xfId="17" applyNumberFormat="1" applyFont="1" applyFill="1" applyBorder="1" applyAlignment="1">
      <alignment horizontal="center"/>
    </xf>
    <xf numFmtId="168" fontId="59" fillId="0" borderId="17" xfId="16" applyNumberFormat="1" applyFont="1" applyBorder="1" applyAlignment="1">
      <alignment horizontal="center"/>
    </xf>
    <xf numFmtId="9" fontId="0" fillId="0" borderId="0" xfId="0" applyNumberFormat="1"/>
    <xf numFmtId="168" fontId="59" fillId="0" borderId="18" xfId="16" applyNumberFormat="1" applyFont="1" applyBorder="1" applyAlignment="1">
      <alignment vertical="top"/>
    </xf>
    <xf numFmtId="168" fontId="59" fillId="0" borderId="8" xfId="16" applyNumberFormat="1" applyFont="1" applyBorder="1"/>
    <xf numFmtId="173" fontId="59" fillId="0" borderId="8" xfId="17" applyNumberFormat="1" applyFont="1" applyFill="1" applyBorder="1"/>
    <xf numFmtId="168" fontId="59" fillId="0" borderId="1" xfId="16" applyNumberFormat="1" applyFont="1" applyBorder="1" applyAlignment="1">
      <alignment horizontal="right" vertical="top" wrapText="1"/>
    </xf>
    <xf numFmtId="182" fontId="0" fillId="0" borderId="0" xfId="2" applyNumberFormat="1" applyFont="1"/>
    <xf numFmtId="168" fontId="59" fillId="0" borderId="6" xfId="16" applyNumberFormat="1" applyFont="1" applyBorder="1" applyAlignment="1">
      <alignment vertical="top"/>
    </xf>
    <xf numFmtId="168" fontId="59" fillId="0" borderId="5" xfId="16" applyNumberFormat="1" applyFont="1" applyBorder="1"/>
    <xf numFmtId="173" fontId="59" fillId="0" borderId="5" xfId="17" applyNumberFormat="1" applyFont="1" applyFill="1" applyBorder="1"/>
    <xf numFmtId="173" fontId="59" fillId="0" borderId="11" xfId="17" applyNumberFormat="1" applyFont="1" applyFill="1" applyBorder="1"/>
    <xf numFmtId="168" fontId="59" fillId="0" borderId="11" xfId="16" applyNumberFormat="1" applyFont="1" applyBorder="1" applyAlignment="1">
      <alignment horizontal="right" vertical="top" wrapText="1"/>
    </xf>
    <xf numFmtId="10" fontId="0" fillId="0" borderId="0" xfId="2" applyNumberFormat="1" applyFont="1"/>
    <xf numFmtId="183" fontId="60" fillId="0" borderId="7" xfId="16" applyNumberFormat="1" applyFont="1" applyBorder="1" applyAlignment="1">
      <alignment horizontal="left"/>
    </xf>
    <xf numFmtId="168" fontId="61" fillId="0" borderId="0" xfId="16" applyNumberFormat="1" applyFont="1"/>
    <xf numFmtId="173" fontId="60" fillId="0" borderId="0" xfId="17" applyNumberFormat="1" applyFont="1" applyFill="1" applyBorder="1"/>
    <xf numFmtId="173" fontId="60" fillId="0" borderId="14" xfId="17" applyNumberFormat="1" applyFont="1" applyFill="1" applyBorder="1"/>
    <xf numFmtId="168" fontId="61" fillId="0" borderId="14" xfId="16" applyNumberFormat="1" applyFont="1" applyBorder="1"/>
    <xf numFmtId="168" fontId="62" fillId="0" borderId="7" xfId="16" applyNumberFormat="1" applyFont="1" applyBorder="1"/>
    <xf numFmtId="168" fontId="59" fillId="0" borderId="0" xfId="16" applyNumberFormat="1" applyFont="1"/>
    <xf numFmtId="173" fontId="59" fillId="0" borderId="0" xfId="17" applyNumberFormat="1" applyFont="1" applyFill="1" applyBorder="1"/>
    <xf numFmtId="173" fontId="59" fillId="0" borderId="14" xfId="17" applyNumberFormat="1" applyFont="1" applyFill="1" applyBorder="1"/>
    <xf numFmtId="168" fontId="62" fillId="0" borderId="14" xfId="16" applyNumberFormat="1" applyFont="1" applyBorder="1"/>
    <xf numFmtId="10" fontId="0" fillId="0" borderId="0" xfId="0" applyNumberFormat="1"/>
    <xf numFmtId="168" fontId="59" fillId="0" borderId="7" xfId="16" applyNumberFormat="1" applyFont="1" applyBorder="1"/>
    <xf numFmtId="168" fontId="62" fillId="0" borderId="0" xfId="16" applyNumberFormat="1" applyFont="1"/>
    <xf numFmtId="173" fontId="62" fillId="0" borderId="0" xfId="17" applyNumberFormat="1" applyFont="1" applyFill="1" applyBorder="1"/>
    <xf numFmtId="173" fontId="62" fillId="0" borderId="14" xfId="17" applyNumberFormat="1" applyFont="1" applyFill="1" applyBorder="1"/>
    <xf numFmtId="170" fontId="62" fillId="0" borderId="14" xfId="8" applyFont="1" applyFill="1" applyBorder="1"/>
    <xf numFmtId="173" fontId="59" fillId="0" borderId="0" xfId="17" applyNumberFormat="1" applyFont="1" applyFill="1" applyBorder="1" applyAlignment="1">
      <alignment horizontal="right"/>
    </xf>
    <xf numFmtId="173" fontId="59" fillId="0" borderId="14" xfId="17" applyNumberFormat="1" applyFont="1" applyFill="1" applyBorder="1" applyAlignment="1">
      <alignment horizontal="right"/>
    </xf>
    <xf numFmtId="173" fontId="59" fillId="0" borderId="16" xfId="17" applyNumberFormat="1" applyFont="1" applyFill="1" applyBorder="1"/>
    <xf numFmtId="173" fontId="59" fillId="0" borderId="71" xfId="17" applyNumberFormat="1" applyFont="1" applyFill="1" applyBorder="1"/>
    <xf numFmtId="164" fontId="62" fillId="0" borderId="14" xfId="16" applyFont="1" applyBorder="1"/>
    <xf numFmtId="164" fontId="59" fillId="0" borderId="16" xfId="18" applyNumberFormat="1" applyFont="1" applyFill="1" applyBorder="1"/>
    <xf numFmtId="164" fontId="62" fillId="0" borderId="14" xfId="18" applyNumberFormat="1" applyFont="1" applyFill="1" applyBorder="1"/>
    <xf numFmtId="173" fontId="62" fillId="0" borderId="0" xfId="17" applyNumberFormat="1" applyFont="1" applyFill="1" applyBorder="1" applyAlignment="1">
      <alignment horizontal="right"/>
    </xf>
    <xf numFmtId="173" fontId="62" fillId="0" borderId="14" xfId="17" applyNumberFormat="1" applyFont="1" applyFill="1" applyBorder="1" applyAlignment="1">
      <alignment horizontal="right"/>
    </xf>
    <xf numFmtId="168" fontId="62" fillId="0" borderId="72" xfId="16" applyNumberFormat="1" applyFont="1" applyBorder="1"/>
    <xf numFmtId="168" fontId="59" fillId="0" borderId="14" xfId="16" applyNumberFormat="1" applyFont="1" applyBorder="1"/>
    <xf numFmtId="168" fontId="60" fillId="0" borderId="7" xfId="16" applyNumberFormat="1" applyFont="1" applyBorder="1"/>
    <xf numFmtId="168" fontId="60" fillId="0" borderId="12" xfId="16" applyNumberFormat="1" applyFont="1" applyBorder="1"/>
    <xf numFmtId="168" fontId="59" fillId="0" borderId="4" xfId="16" applyNumberFormat="1" applyFont="1" applyBorder="1"/>
    <xf numFmtId="168" fontId="62" fillId="0" borderId="4" xfId="16" applyNumberFormat="1" applyFont="1" applyBorder="1"/>
    <xf numFmtId="173" fontId="62" fillId="0" borderId="4" xfId="17" applyNumberFormat="1" applyFont="1" applyFill="1" applyBorder="1"/>
    <xf numFmtId="173" fontId="62" fillId="0" borderId="13" xfId="17" applyNumberFormat="1" applyFont="1" applyFill="1" applyBorder="1"/>
    <xf numFmtId="173" fontId="59" fillId="0" borderId="13" xfId="17" applyNumberFormat="1" applyFont="1" applyFill="1" applyBorder="1"/>
    <xf numFmtId="168" fontId="62" fillId="0" borderId="13" xfId="16" applyNumberFormat="1" applyFont="1" applyBorder="1"/>
    <xf numFmtId="168" fontId="61" fillId="0" borderId="7" xfId="16" applyNumberFormat="1" applyFont="1" applyBorder="1"/>
    <xf numFmtId="168" fontId="61" fillId="0" borderId="5" xfId="16" applyNumberFormat="1" applyFont="1" applyBorder="1"/>
    <xf numFmtId="173" fontId="61" fillId="0" borderId="0" xfId="17" applyNumberFormat="1" applyFont="1" applyFill="1" applyBorder="1"/>
    <xf numFmtId="173" fontId="61" fillId="0" borderId="14" xfId="17" applyNumberFormat="1" applyFont="1" applyFill="1" applyBorder="1"/>
    <xf numFmtId="169" fontId="61" fillId="0" borderId="14" xfId="17" applyNumberFormat="1" applyFont="1" applyFill="1" applyBorder="1"/>
    <xf numFmtId="169" fontId="61" fillId="0" borderId="14" xfId="16" applyNumberFormat="1" applyFont="1" applyBorder="1"/>
    <xf numFmtId="168" fontId="61" fillId="0" borderId="12" xfId="16" applyNumberFormat="1" applyFont="1" applyBorder="1"/>
    <xf numFmtId="168" fontId="61" fillId="0" borderId="4" xfId="16" applyNumberFormat="1" applyFont="1" applyBorder="1"/>
    <xf numFmtId="173" fontId="61" fillId="0" borderId="4" xfId="17" applyNumberFormat="1" applyFont="1" applyFill="1" applyBorder="1"/>
    <xf numFmtId="173" fontId="61" fillId="0" borderId="13" xfId="17" applyNumberFormat="1" applyFont="1" applyFill="1" applyBorder="1"/>
    <xf numFmtId="169" fontId="61" fillId="0" borderId="13" xfId="16" applyNumberFormat="1" applyFont="1" applyBorder="1"/>
    <xf numFmtId="169" fontId="61" fillId="0" borderId="13" xfId="17" applyNumberFormat="1" applyFont="1" applyFill="1" applyBorder="1"/>
    <xf numFmtId="0" fontId="64" fillId="0" borderId="0" xfId="0" applyFont="1" applyAlignment="1">
      <alignment horizontal="left"/>
    </xf>
    <xf numFmtId="0" fontId="65" fillId="0" borderId="0" xfId="0" applyFont="1"/>
    <xf numFmtId="43" fontId="65" fillId="0" borderId="0" xfId="1" applyFont="1"/>
    <xf numFmtId="0" fontId="65" fillId="0" borderId="0" xfId="0" applyFont="1" applyAlignment="1">
      <alignment horizontal="left"/>
    </xf>
    <xf numFmtId="0" fontId="65" fillId="0" borderId="0" xfId="0" applyFont="1" applyAlignment="1">
      <alignment wrapText="1"/>
    </xf>
    <xf numFmtId="0" fontId="64" fillId="0" borderId="4" xfId="0" applyFont="1" applyBorder="1" applyAlignment="1">
      <alignment vertical="top"/>
    </xf>
    <xf numFmtId="43" fontId="64" fillId="0" borderId="4" xfId="1" applyFont="1" applyBorder="1" applyAlignment="1">
      <alignment vertical="top"/>
    </xf>
    <xf numFmtId="49" fontId="64" fillId="0" borderId="1" xfId="0" applyNumberFormat="1" applyFont="1" applyBorder="1" applyAlignment="1">
      <alignment horizontal="center" vertical="top"/>
    </xf>
    <xf numFmtId="43" fontId="64" fillId="0" borderId="1" xfId="1" applyFont="1" applyBorder="1" applyAlignment="1">
      <alignment horizontal="center" vertical="top"/>
    </xf>
    <xf numFmtId="0" fontId="66" fillId="0" borderId="1" xfId="0" applyFont="1" applyBorder="1" applyAlignment="1">
      <alignment vertical="center" wrapText="1"/>
    </xf>
    <xf numFmtId="0" fontId="65" fillId="0" borderId="1" xfId="0" applyFont="1" applyBorder="1"/>
    <xf numFmtId="0" fontId="66" fillId="0" borderId="1" xfId="0" applyFont="1" applyBorder="1" applyAlignment="1">
      <alignment horizontal="center" vertical="center"/>
    </xf>
    <xf numFmtId="0" fontId="66" fillId="0" borderId="1" xfId="0" applyFont="1" applyBorder="1" applyAlignment="1">
      <alignment vertical="center"/>
    </xf>
    <xf numFmtId="0" fontId="66" fillId="0" borderId="1" xfId="0" quotePrefix="1" applyFont="1" applyBorder="1" applyAlignment="1">
      <alignment vertical="center"/>
    </xf>
    <xf numFmtId="164" fontId="66" fillId="0" borderId="1" xfId="1" applyNumberFormat="1" applyFont="1" applyBorder="1" applyAlignment="1">
      <alignment vertical="center"/>
    </xf>
    <xf numFmtId="164" fontId="67" fillId="0" borderId="1" xfId="1" applyNumberFormat="1" applyFont="1" applyBorder="1"/>
    <xf numFmtId="16" fontId="0" fillId="0" borderId="0" xfId="0" applyNumberFormat="1"/>
    <xf numFmtId="14" fontId="0" fillId="0" borderId="1" xfId="0" applyNumberFormat="1" applyBorder="1" applyAlignment="1">
      <alignment horizontal="center"/>
    </xf>
    <xf numFmtId="164" fontId="2" fillId="0" borderId="1" xfId="0" applyNumberFormat="1" applyFont="1" applyBorder="1" applyAlignment="1">
      <alignment horizontal="center"/>
    </xf>
    <xf numFmtId="173" fontId="0" fillId="0" borderId="0" xfId="0" applyNumberFormat="1"/>
    <xf numFmtId="0" fontId="19" fillId="0" borderId="1" xfId="7" applyFont="1" applyFill="1" applyBorder="1" applyAlignment="1" applyProtection="1">
      <alignment horizontal="center" vertical="center" wrapText="1"/>
      <protection hidden="1"/>
    </xf>
    <xf numFmtId="164" fontId="0" fillId="0" borderId="1" xfId="0" applyNumberFormat="1" applyBorder="1"/>
    <xf numFmtId="168" fontId="0" fillId="0" borderId="0" xfId="0" applyNumberFormat="1"/>
    <xf numFmtId="164" fontId="11" fillId="0" borderId="0" xfId="1" applyNumberFormat="1" applyFont="1" applyFill="1" applyBorder="1" applyAlignment="1">
      <alignment horizontal="right"/>
    </xf>
    <xf numFmtId="164" fontId="11" fillId="0" borderId="0" xfId="1" applyNumberFormat="1" applyFont="1" applyFill="1" applyBorder="1" applyAlignment="1">
      <alignment horizontal="right" vertical="center"/>
    </xf>
    <xf numFmtId="164" fontId="11" fillId="0" borderId="14" xfId="1" applyNumberFormat="1" applyFont="1" applyFill="1" applyBorder="1" applyAlignment="1">
      <alignment horizontal="right" vertical="center"/>
    </xf>
    <xf numFmtId="0" fontId="2" fillId="0" borderId="14" xfId="0" applyFont="1" applyBorder="1" applyAlignment="1">
      <alignment horizontal="center" vertical="center"/>
    </xf>
    <xf numFmtId="0" fontId="68" fillId="0" borderId="0" xfId="0" applyFont="1" applyAlignment="1">
      <alignment vertical="center"/>
    </xf>
    <xf numFmtId="43" fontId="0" fillId="0" borderId="0" xfId="1" applyFont="1" applyFill="1" applyAlignment="1">
      <alignment vertical="center"/>
    </xf>
    <xf numFmtId="0" fontId="0" fillId="0" borderId="0" xfId="0" applyAlignment="1">
      <alignment vertical="center" wrapText="1"/>
    </xf>
    <xf numFmtId="0" fontId="0" fillId="0" borderId="0" xfId="0" applyAlignment="1">
      <alignment vertical="center"/>
    </xf>
    <xf numFmtId="0" fontId="17" fillId="0" borderId="0" xfId="0" applyFont="1" applyAlignment="1">
      <alignment vertical="center"/>
    </xf>
    <xf numFmtId="0" fontId="2" fillId="0" borderId="1" xfId="0" applyFont="1" applyBorder="1" applyAlignment="1">
      <alignment vertical="center" wrapText="1"/>
    </xf>
    <xf numFmtId="43" fontId="2" fillId="0" borderId="1" xfId="1" applyFont="1" applyFill="1" applyBorder="1" applyAlignment="1">
      <alignment vertical="center" wrapText="1"/>
    </xf>
    <xf numFmtId="43" fontId="0" fillId="0" borderId="0" xfId="1" applyFont="1" applyFill="1" applyAlignment="1">
      <alignment wrapText="1"/>
    </xf>
    <xf numFmtId="0" fontId="0" fillId="0" borderId="1" xfId="0" applyBorder="1" applyAlignment="1">
      <alignment vertical="center" wrapText="1"/>
    </xf>
    <xf numFmtId="43" fontId="0" fillId="0" borderId="1" xfId="1" applyFont="1" applyFill="1" applyBorder="1" applyAlignment="1">
      <alignment vertical="center"/>
    </xf>
    <xf numFmtId="43" fontId="0" fillId="0" borderId="1" xfId="0" applyNumberFormat="1" applyBorder="1" applyAlignment="1">
      <alignment vertical="center"/>
    </xf>
    <xf numFmtId="0" fontId="2" fillId="0" borderId="0" xfId="0" applyFont="1" applyAlignment="1">
      <alignment vertical="center" wrapText="1"/>
    </xf>
    <xf numFmtId="43" fontId="2" fillId="0" borderId="1" xfId="1" applyFont="1" applyFill="1" applyBorder="1" applyAlignment="1">
      <alignment vertical="center"/>
    </xf>
    <xf numFmtId="43" fontId="0" fillId="0" borderId="1" xfId="1" applyFont="1" applyFill="1" applyBorder="1" applyAlignment="1">
      <alignment vertical="center" wrapText="1"/>
    </xf>
    <xf numFmtId="0" fontId="0" fillId="0" borderId="1" xfId="0" applyBorder="1" applyAlignment="1">
      <alignment vertical="center"/>
    </xf>
    <xf numFmtId="43" fontId="0" fillId="0" borderId="0" xfId="1" applyFont="1" applyFill="1" applyBorder="1" applyAlignment="1">
      <alignment vertical="center"/>
    </xf>
    <xf numFmtId="43" fontId="0" fillId="0" borderId="0" xfId="1" applyFont="1" applyFill="1" applyBorder="1" applyAlignment="1">
      <alignment vertical="center" wrapText="1"/>
    </xf>
    <xf numFmtId="43" fontId="0" fillId="0" borderId="0" xfId="0" applyNumberFormat="1" applyAlignment="1">
      <alignment vertical="center"/>
    </xf>
    <xf numFmtId="43" fontId="69" fillId="0" borderId="0" xfId="1" applyFont="1" applyFill="1"/>
    <xf numFmtId="43" fontId="69" fillId="0" borderId="1" xfId="1" applyFont="1" applyFill="1" applyBorder="1"/>
    <xf numFmtId="43" fontId="0" fillId="0" borderId="1" xfId="1" applyFont="1" applyFill="1" applyBorder="1"/>
    <xf numFmtId="0" fontId="0" fillId="0" borderId="20" xfId="0" applyBorder="1" applyAlignment="1">
      <alignment vertical="center"/>
    </xf>
    <xf numFmtId="17" fontId="0" fillId="0" borderId="1" xfId="0" applyNumberFormat="1" applyBorder="1"/>
    <xf numFmtId="43" fontId="0" fillId="0" borderId="1" xfId="0" applyNumberFormat="1" applyBorder="1"/>
    <xf numFmtId="17" fontId="0" fillId="0" borderId="20" xfId="0" applyNumberFormat="1" applyBorder="1"/>
    <xf numFmtId="184" fontId="0" fillId="0" borderId="1" xfId="2" applyNumberFormat="1" applyFont="1" applyFill="1" applyBorder="1"/>
    <xf numFmtId="43" fontId="2" fillId="0" borderId="1" xfId="0" applyNumberFormat="1" applyFont="1" applyBorder="1"/>
    <xf numFmtId="43" fontId="2" fillId="0" borderId="1" xfId="1" applyFont="1" applyFill="1" applyBorder="1"/>
    <xf numFmtId="17" fontId="0" fillId="0" borderId="0" xfId="0" applyNumberFormat="1"/>
    <xf numFmtId="43" fontId="2" fillId="0" borderId="0" xfId="1" applyFont="1" applyFill="1"/>
    <xf numFmtId="170" fontId="0" fillId="0" borderId="0" xfId="0" applyNumberFormat="1"/>
    <xf numFmtId="10" fontId="0" fillId="0" borderId="1" xfId="1" applyNumberFormat="1" applyFont="1" applyFill="1" applyBorder="1"/>
    <xf numFmtId="0" fontId="0" fillId="0" borderId="1" xfId="0" applyBorder="1" applyAlignment="1">
      <alignment wrapText="1"/>
    </xf>
    <xf numFmtId="43" fontId="2" fillId="0" borderId="0" xfId="0" applyNumberFormat="1" applyFont="1"/>
    <xf numFmtId="164" fontId="10" fillId="0" borderId="14" xfId="1" applyNumberFormat="1" applyFont="1" applyFill="1" applyBorder="1" applyAlignment="1">
      <alignment vertical="center"/>
    </xf>
    <xf numFmtId="9" fontId="11" fillId="0" borderId="0" xfId="3" applyFont="1" applyFill="1" applyBorder="1" applyAlignment="1">
      <alignment horizontal="right"/>
    </xf>
    <xf numFmtId="43" fontId="57" fillId="0" borderId="0" xfId="1" applyFont="1"/>
    <xf numFmtId="0" fontId="58" fillId="0" borderId="0" xfId="19" applyFont="1" applyAlignment="1">
      <alignment horizontal="center"/>
    </xf>
    <xf numFmtId="0" fontId="58" fillId="0" borderId="0" xfId="19" applyFont="1"/>
    <xf numFmtId="173" fontId="58" fillId="0" borderId="0" xfId="20" applyNumberFormat="1" applyFont="1" applyFill="1"/>
    <xf numFmtId="173" fontId="19" fillId="0" borderId="0" xfId="20" applyNumberFormat="1" applyFont="1" applyFill="1" applyBorder="1" applyAlignment="1">
      <alignment horizontal="center"/>
    </xf>
    <xf numFmtId="173" fontId="19" fillId="0" borderId="7" xfId="20" applyNumberFormat="1" applyFont="1" applyFill="1" applyBorder="1" applyAlignment="1">
      <alignment horizontal="center"/>
    </xf>
    <xf numFmtId="173" fontId="58" fillId="0" borderId="0" xfId="20" applyNumberFormat="1" applyFont="1" applyFill="1" applyBorder="1"/>
    <xf numFmtId="173" fontId="19" fillId="0" borderId="0" xfId="20" applyNumberFormat="1" applyFont="1" applyFill="1" applyBorder="1"/>
    <xf numFmtId="0" fontId="19" fillId="0" borderId="6" xfId="20" applyNumberFormat="1" applyFont="1" applyFill="1" applyBorder="1" applyAlignment="1">
      <alignment horizontal="center"/>
    </xf>
    <xf numFmtId="9" fontId="19" fillId="0" borderId="11" xfId="3" applyFont="1" applyFill="1" applyBorder="1"/>
    <xf numFmtId="173" fontId="19" fillId="0" borderId="5" xfId="20" applyNumberFormat="1" applyFont="1" applyFill="1" applyBorder="1" applyAlignment="1">
      <alignment horizontal="center"/>
    </xf>
    <xf numFmtId="173" fontId="19" fillId="0" borderId="11" xfId="20" applyNumberFormat="1" applyFont="1" applyFill="1" applyBorder="1" applyAlignment="1">
      <alignment horizontal="center"/>
    </xf>
    <xf numFmtId="173" fontId="19" fillId="0" borderId="9" xfId="20" applyNumberFormat="1" applyFont="1" applyFill="1" applyBorder="1" applyAlignment="1">
      <alignment horizontal="center"/>
    </xf>
    <xf numFmtId="0" fontId="19" fillId="0" borderId="7" xfId="20" applyNumberFormat="1" applyFont="1" applyFill="1" applyBorder="1" applyAlignment="1">
      <alignment horizontal="center"/>
    </xf>
    <xf numFmtId="173" fontId="19" fillId="0" borderId="14" xfId="20" applyNumberFormat="1" applyFont="1" applyFill="1" applyBorder="1"/>
    <xf numFmtId="173" fontId="19" fillId="0" borderId="14" xfId="20" applyNumberFormat="1" applyFont="1" applyFill="1" applyBorder="1" applyAlignment="1">
      <alignment horizontal="center"/>
    </xf>
    <xf numFmtId="14" fontId="19" fillId="0" borderId="14" xfId="20" applyNumberFormat="1" applyFont="1" applyFill="1" applyBorder="1" applyAlignment="1">
      <alignment horizontal="center"/>
    </xf>
    <xf numFmtId="0" fontId="73" fillId="0" borderId="12" xfId="20" applyNumberFormat="1" applyFont="1" applyFill="1" applyBorder="1" applyAlignment="1">
      <alignment horizontal="center"/>
    </xf>
    <xf numFmtId="173" fontId="73" fillId="0" borderId="13" xfId="20" applyNumberFormat="1" applyFont="1" applyFill="1" applyBorder="1"/>
    <xf numFmtId="173" fontId="73" fillId="0" borderId="4" xfId="20" applyNumberFormat="1" applyFont="1" applyFill="1" applyBorder="1"/>
    <xf numFmtId="173" fontId="74" fillId="0" borderId="13" xfId="20" applyNumberFormat="1" applyFont="1" applyFill="1" applyBorder="1" applyAlignment="1">
      <alignment horizontal="center"/>
    </xf>
    <xf numFmtId="173" fontId="19" fillId="0" borderId="13" xfId="20" applyNumberFormat="1" applyFont="1" applyFill="1" applyBorder="1" applyAlignment="1">
      <alignment horizontal="center"/>
    </xf>
    <xf numFmtId="0" fontId="73" fillId="0" borderId="11" xfId="20" applyNumberFormat="1" applyFont="1" applyFill="1" applyBorder="1" applyAlignment="1">
      <alignment horizontal="center"/>
    </xf>
    <xf numFmtId="173" fontId="73" fillId="0" borderId="11" xfId="20" applyNumberFormat="1" applyFont="1" applyFill="1" applyBorder="1"/>
    <xf numFmtId="173" fontId="73" fillId="0" borderId="14" xfId="20" applyNumberFormat="1" applyFont="1" applyFill="1" applyBorder="1"/>
    <xf numFmtId="0" fontId="73" fillId="0" borderId="14" xfId="20" applyNumberFormat="1" applyFont="1" applyFill="1" applyBorder="1" applyAlignment="1">
      <alignment horizontal="center"/>
    </xf>
    <xf numFmtId="9" fontId="75" fillId="0" borderId="10" xfId="3" applyFont="1" applyFill="1" applyBorder="1"/>
    <xf numFmtId="173" fontId="73" fillId="0" borderId="0" xfId="20" applyNumberFormat="1" applyFont="1" applyFill="1" applyBorder="1"/>
    <xf numFmtId="0" fontId="19" fillId="0" borderId="14" xfId="20" quotePrefix="1" applyNumberFormat="1" applyFont="1" applyFill="1" applyBorder="1" applyAlignment="1">
      <alignment horizontal="center"/>
    </xf>
    <xf numFmtId="9" fontId="58" fillId="0" borderId="10" xfId="3" applyFont="1" applyFill="1" applyBorder="1"/>
    <xf numFmtId="9" fontId="58" fillId="0" borderId="0" xfId="20" applyNumberFormat="1" applyFont="1" applyFill="1" applyBorder="1" applyAlignment="1">
      <alignment horizontal="center"/>
    </xf>
    <xf numFmtId="173" fontId="58" fillId="0" borderId="14" xfId="20" applyNumberFormat="1" applyFont="1" applyFill="1" applyBorder="1"/>
    <xf numFmtId="164" fontId="58" fillId="0" borderId="14" xfId="20" applyNumberFormat="1" applyFont="1" applyFill="1" applyBorder="1"/>
    <xf numFmtId="0" fontId="73" fillId="0" borderId="13" xfId="20" applyNumberFormat="1" applyFont="1" applyFill="1" applyBorder="1" applyAlignment="1">
      <alignment horizontal="center"/>
    </xf>
    <xf numFmtId="9" fontId="19" fillId="0" borderId="17" xfId="3" applyFont="1" applyFill="1" applyBorder="1"/>
    <xf numFmtId="9" fontId="58" fillId="0" borderId="4" xfId="20" applyNumberFormat="1" applyFont="1" applyFill="1" applyBorder="1" applyAlignment="1">
      <alignment horizontal="center"/>
    </xf>
    <xf numFmtId="173" fontId="19" fillId="0" borderId="1" xfId="20" applyNumberFormat="1" applyFont="1" applyFill="1" applyBorder="1"/>
    <xf numFmtId="170" fontId="58" fillId="0" borderId="10" xfId="20" applyNumberFormat="1" applyFont="1" applyFill="1" applyBorder="1" applyAlignment="1">
      <alignment horizontal="center"/>
    </xf>
    <xf numFmtId="173" fontId="58" fillId="0" borderId="10" xfId="20" applyNumberFormat="1" applyFont="1" applyFill="1" applyBorder="1" applyAlignment="1">
      <alignment horizontal="center"/>
    </xf>
    <xf numFmtId="0" fontId="74" fillId="0" borderId="14" xfId="20" applyNumberFormat="1" applyFont="1" applyFill="1" applyBorder="1" applyAlignment="1">
      <alignment horizontal="center"/>
    </xf>
    <xf numFmtId="173" fontId="73" fillId="0" borderId="0" xfId="20" applyNumberFormat="1" applyFont="1" applyFill="1" applyBorder="1" applyAlignment="1">
      <alignment horizontal="center"/>
    </xf>
    <xf numFmtId="170" fontId="58" fillId="0" borderId="10" xfId="20" applyNumberFormat="1" applyFont="1" applyFill="1" applyBorder="1"/>
    <xf numFmtId="170" fontId="58" fillId="0" borderId="14" xfId="20" applyNumberFormat="1" applyFont="1" applyFill="1" applyBorder="1"/>
    <xf numFmtId="9" fontId="58" fillId="0" borderId="13" xfId="3" applyFont="1" applyFill="1" applyBorder="1"/>
    <xf numFmtId="0" fontId="73" fillId="0" borderId="1" xfId="20" applyNumberFormat="1" applyFont="1" applyFill="1" applyBorder="1" applyAlignment="1">
      <alignment horizontal="center"/>
    </xf>
    <xf numFmtId="9" fontId="58" fillId="0" borderId="1" xfId="20" applyNumberFormat="1" applyFont="1" applyFill="1" applyBorder="1" applyAlignment="1">
      <alignment horizontal="center"/>
    </xf>
    <xf numFmtId="0" fontId="73" fillId="0" borderId="7" xfId="20" applyNumberFormat="1" applyFont="1" applyFill="1" applyBorder="1" applyAlignment="1">
      <alignment horizontal="center"/>
    </xf>
    <xf numFmtId="173" fontId="73" fillId="0" borderId="10" xfId="20" applyNumberFormat="1" applyFont="1" applyFill="1" applyBorder="1"/>
    <xf numFmtId="9" fontId="58" fillId="0" borderId="14" xfId="3" applyFont="1" applyFill="1" applyBorder="1"/>
    <xf numFmtId="173" fontId="58" fillId="0" borderId="14" xfId="20" applyNumberFormat="1" applyFont="1" applyFill="1" applyBorder="1" applyAlignment="1">
      <alignment horizontal="center"/>
    </xf>
    <xf numFmtId="173" fontId="73" fillId="0" borderId="1" xfId="20" applyNumberFormat="1" applyFont="1" applyFill="1" applyBorder="1"/>
    <xf numFmtId="173" fontId="58" fillId="0" borderId="4" xfId="20" applyNumberFormat="1" applyFont="1" applyFill="1" applyBorder="1" applyAlignment="1">
      <alignment horizontal="center"/>
    </xf>
    <xf numFmtId="173" fontId="58" fillId="0" borderId="0" xfId="19" applyNumberFormat="1" applyFont="1"/>
    <xf numFmtId="173" fontId="73" fillId="0" borderId="14" xfId="20" applyNumberFormat="1" applyFont="1" applyFill="1" applyBorder="1" applyAlignment="1">
      <alignment horizontal="center"/>
    </xf>
    <xf numFmtId="173" fontId="58" fillId="0" borderId="10" xfId="20" applyNumberFormat="1" applyFont="1" applyFill="1" applyBorder="1"/>
    <xf numFmtId="9" fontId="58" fillId="0" borderId="14" xfId="20" applyNumberFormat="1" applyFont="1" applyFill="1" applyBorder="1" applyAlignment="1">
      <alignment horizontal="center"/>
    </xf>
    <xf numFmtId="173" fontId="58" fillId="0" borderId="13" xfId="20" quotePrefix="1" applyNumberFormat="1" applyFont="1" applyFill="1" applyBorder="1" applyAlignment="1">
      <alignment horizontal="center"/>
    </xf>
    <xf numFmtId="9" fontId="75" fillId="0" borderId="0" xfId="3" applyFont="1" applyFill="1" applyBorder="1"/>
    <xf numFmtId="9" fontId="58" fillId="0" borderId="0" xfId="3" applyFont="1" applyFill="1" applyBorder="1"/>
    <xf numFmtId="0" fontId="19" fillId="0" borderId="1" xfId="20" quotePrefix="1" applyNumberFormat="1" applyFont="1" applyFill="1" applyBorder="1" applyAlignment="1">
      <alignment horizontal="center"/>
    </xf>
    <xf numFmtId="9" fontId="19" fillId="0" borderId="20" xfId="3" applyFont="1" applyFill="1" applyBorder="1"/>
    <xf numFmtId="173" fontId="73" fillId="0" borderId="20" xfId="20" applyNumberFormat="1" applyFont="1" applyFill="1" applyBorder="1" applyAlignment="1">
      <alignment horizontal="center"/>
    </xf>
    <xf numFmtId="0" fontId="19" fillId="0" borderId="14" xfId="20" applyNumberFormat="1" applyFont="1" applyFill="1" applyBorder="1" applyAlignment="1">
      <alignment horizontal="center"/>
    </xf>
    <xf numFmtId="173" fontId="58" fillId="0" borderId="0" xfId="20" applyNumberFormat="1" applyFont="1" applyFill="1" applyBorder="1" applyAlignment="1">
      <alignment horizontal="center"/>
    </xf>
    <xf numFmtId="173" fontId="58" fillId="0" borderId="13" xfId="20" applyNumberFormat="1" applyFont="1" applyFill="1" applyBorder="1" applyAlignment="1">
      <alignment horizontal="center"/>
    </xf>
    <xf numFmtId="0" fontId="19" fillId="0" borderId="13" xfId="20" quotePrefix="1" applyNumberFormat="1" applyFont="1" applyFill="1" applyBorder="1" applyAlignment="1">
      <alignment horizontal="center"/>
    </xf>
    <xf numFmtId="173" fontId="58" fillId="0" borderId="18" xfId="20" quotePrefix="1" applyNumberFormat="1" applyFont="1" applyFill="1" applyBorder="1" applyAlignment="1">
      <alignment horizontal="center"/>
    </xf>
    <xf numFmtId="173" fontId="58" fillId="0" borderId="0" xfId="20" applyNumberFormat="1" applyFont="1" applyFill="1" applyAlignment="1">
      <alignment horizontal="left"/>
    </xf>
    <xf numFmtId="170" fontId="58" fillId="0" borderId="0" xfId="19" applyNumberFormat="1" applyFont="1"/>
    <xf numFmtId="0" fontId="19" fillId="0" borderId="7" xfId="19" applyFont="1" applyBorder="1" applyAlignment="1">
      <alignment horizontal="center"/>
    </xf>
    <xf numFmtId="0" fontId="19" fillId="0" borderId="0" xfId="19" applyFont="1" applyAlignment="1">
      <alignment horizontal="center"/>
    </xf>
    <xf numFmtId="0" fontId="58" fillId="0" borderId="10" xfId="19" applyFont="1" applyBorder="1"/>
    <xf numFmtId="168" fontId="19" fillId="0" borderId="7" xfId="21" applyNumberFormat="1" applyFont="1" applyBorder="1" applyAlignment="1">
      <alignment horizontal="center"/>
    </xf>
    <xf numFmtId="168" fontId="19" fillId="0" borderId="0" xfId="21" applyNumberFormat="1" applyFont="1" applyAlignment="1">
      <alignment horizontal="center"/>
    </xf>
    <xf numFmtId="0" fontId="58" fillId="0" borderId="7" xfId="19" applyFont="1" applyBorder="1" applyAlignment="1">
      <alignment horizontal="center"/>
    </xf>
    <xf numFmtId="0" fontId="58" fillId="0" borderId="5" xfId="19" applyFont="1" applyBorder="1"/>
    <xf numFmtId="0" fontId="58" fillId="0" borderId="14" xfId="19" applyFont="1" applyBorder="1"/>
    <xf numFmtId="0" fontId="58" fillId="0" borderId="4" xfId="19" applyFont="1" applyBorder="1"/>
    <xf numFmtId="0" fontId="19" fillId="0" borderId="1" xfId="19" applyFont="1" applyBorder="1"/>
    <xf numFmtId="0" fontId="19" fillId="0" borderId="14" xfId="19" applyFont="1" applyBorder="1" applyAlignment="1">
      <alignment horizontal="center"/>
    </xf>
    <xf numFmtId="170" fontId="58" fillId="0" borderId="14" xfId="24" applyNumberFormat="1" applyFont="1" applyBorder="1"/>
    <xf numFmtId="173" fontId="58" fillId="0" borderId="14" xfId="24" applyNumberFormat="1" applyFont="1" applyBorder="1"/>
    <xf numFmtId="43" fontId="58" fillId="0" borderId="0" xfId="19" applyNumberFormat="1" applyFont="1"/>
    <xf numFmtId="173" fontId="19" fillId="0" borderId="0" xfId="19" applyNumberFormat="1" applyFont="1"/>
    <xf numFmtId="164" fontId="58" fillId="0" borderId="0" xfId="19" applyNumberFormat="1" applyFont="1"/>
    <xf numFmtId="0" fontId="19" fillId="0" borderId="0" xfId="19" applyFont="1"/>
    <xf numFmtId="173" fontId="58" fillId="0" borderId="0" xfId="19" applyNumberFormat="1" applyFont="1" applyAlignment="1">
      <alignment horizontal="center"/>
    </xf>
    <xf numFmtId="37" fontId="58" fillId="0" borderId="0" xfId="19" applyNumberFormat="1" applyFont="1"/>
    <xf numFmtId="9" fontId="58" fillId="0" borderId="0" xfId="19" applyNumberFormat="1" applyFont="1"/>
    <xf numFmtId="168" fontId="52" fillId="2" borderId="0" xfId="12" applyNumberFormat="1" applyFont="1" applyFill="1"/>
    <xf numFmtId="168" fontId="54" fillId="2" borderId="0" xfId="12" applyNumberFormat="1" applyFont="1" applyFill="1"/>
    <xf numFmtId="43" fontId="52" fillId="2" borderId="0" xfId="1" applyFont="1" applyFill="1"/>
    <xf numFmtId="0" fontId="76" fillId="0" borderId="0" xfId="0" applyFont="1"/>
    <xf numFmtId="164" fontId="76" fillId="0" borderId="0" xfId="0" applyNumberFormat="1" applyFont="1"/>
    <xf numFmtId="43" fontId="76" fillId="0" borderId="0" xfId="1" applyFont="1"/>
    <xf numFmtId="170" fontId="33" fillId="0" borderId="1" xfId="9" applyFont="1" applyFill="1" applyBorder="1" applyAlignment="1">
      <alignment vertical="top"/>
    </xf>
    <xf numFmtId="170" fontId="77" fillId="0" borderId="0" xfId="9" applyFont="1" applyAlignment="1">
      <alignment vertical="top"/>
    </xf>
    <xf numFmtId="14" fontId="29" fillId="0" borderId="1" xfId="9" applyNumberFormat="1" applyFont="1" applyFill="1" applyBorder="1" applyAlignment="1">
      <alignment vertical="top"/>
    </xf>
    <xf numFmtId="170" fontId="34" fillId="0" borderId="1" xfId="9" applyFont="1" applyFill="1" applyBorder="1" applyAlignment="1">
      <alignment vertical="top"/>
    </xf>
    <xf numFmtId="174" fontId="34" fillId="0" borderId="1" xfId="9" applyNumberFormat="1" applyFont="1" applyFill="1" applyBorder="1" applyAlignment="1">
      <alignment vertical="top"/>
    </xf>
    <xf numFmtId="170" fontId="33" fillId="0" borderId="1" xfId="9" applyFont="1" applyBorder="1" applyAlignment="1">
      <alignment vertical="top"/>
    </xf>
    <xf numFmtId="174" fontId="30" fillId="0" borderId="1" xfId="9" applyNumberFormat="1" applyFont="1" applyBorder="1" applyAlignment="1">
      <alignment vertical="top"/>
    </xf>
    <xf numFmtId="170" fontId="24" fillId="0" borderId="1" xfId="9" applyFont="1" applyFill="1" applyBorder="1" applyAlignment="1">
      <alignment vertical="top"/>
    </xf>
    <xf numFmtId="170" fontId="24" fillId="0" borderId="1" xfId="9" applyFont="1" applyBorder="1" applyAlignment="1">
      <alignment vertical="top"/>
    </xf>
    <xf numFmtId="170" fontId="30" fillId="0" borderId="1" xfId="9" applyFont="1" applyFill="1" applyBorder="1" applyAlignment="1">
      <alignment vertical="top"/>
    </xf>
    <xf numFmtId="174" fontId="30" fillId="0" borderId="1" xfId="9" applyNumberFormat="1" applyFont="1" applyFill="1" applyBorder="1" applyAlignment="1">
      <alignment vertical="top"/>
    </xf>
    <xf numFmtId="37" fontId="19" fillId="0" borderId="68" xfId="19" applyNumberFormat="1" applyFont="1" applyBorder="1"/>
    <xf numFmtId="170" fontId="37" fillId="0" borderId="0" xfId="9" applyFont="1" applyFill="1" applyAlignment="1">
      <alignment vertical="top"/>
    </xf>
    <xf numFmtId="0" fontId="79" fillId="0" borderId="0" xfId="0" applyFont="1"/>
    <xf numFmtId="43" fontId="79" fillId="0" borderId="0" xfId="1" applyFont="1"/>
    <xf numFmtId="0" fontId="80" fillId="0" borderId="0" xfId="0" applyFont="1"/>
    <xf numFmtId="0" fontId="23" fillId="0" borderId="1" xfId="0" applyFont="1" applyBorder="1" applyAlignment="1">
      <alignment horizontal="right"/>
    </xf>
    <xf numFmtId="0" fontId="20" fillId="0" borderId="14" xfId="0" applyFont="1" applyBorder="1"/>
    <xf numFmtId="164" fontId="23" fillId="0" borderId="14" xfId="1" applyNumberFormat="1" applyFont="1" applyFill="1" applyBorder="1"/>
    <xf numFmtId="164" fontId="23" fillId="0" borderId="1" xfId="1" applyNumberFormat="1" applyFont="1" applyFill="1" applyBorder="1"/>
    <xf numFmtId="0" fontId="82" fillId="0" borderId="0" xfId="0" applyFont="1"/>
    <xf numFmtId="164" fontId="20" fillId="0" borderId="14" xfId="1" applyNumberFormat="1" applyFont="1" applyFill="1" applyBorder="1"/>
    <xf numFmtId="0" fontId="79" fillId="0" borderId="0" xfId="0" applyFont="1" applyAlignment="1">
      <alignment horizontal="left"/>
    </xf>
    <xf numFmtId="43" fontId="79" fillId="0" borderId="0" xfId="0" applyNumberFormat="1" applyFont="1"/>
    <xf numFmtId="0" fontId="80" fillId="0" borderId="1" xfId="0" applyFont="1" applyBorder="1"/>
    <xf numFmtId="43" fontId="79" fillId="0" borderId="0" xfId="1" applyFont="1" applyFill="1"/>
    <xf numFmtId="0" fontId="0" fillId="6" borderId="0" xfId="0" applyFill="1"/>
    <xf numFmtId="0" fontId="79" fillId="6" borderId="0" xfId="0" applyFont="1" applyFill="1"/>
    <xf numFmtId="43" fontId="79" fillId="6" borderId="0" xfId="1" applyFont="1" applyFill="1"/>
    <xf numFmtId="164" fontId="20" fillId="6" borderId="14" xfId="8" applyNumberFormat="1" applyFont="1" applyFill="1" applyBorder="1"/>
    <xf numFmtId="0" fontId="80" fillId="6" borderId="0" xfId="0" applyFont="1" applyFill="1"/>
    <xf numFmtId="164" fontId="20" fillId="0" borderId="14" xfId="1" applyNumberFormat="1" applyFont="1" applyFill="1" applyBorder="1" applyAlignment="1">
      <alignment horizontal="right"/>
    </xf>
    <xf numFmtId="164" fontId="23" fillId="0" borderId="14" xfId="1" applyNumberFormat="1" applyFont="1" applyFill="1" applyBorder="1" applyAlignment="1">
      <alignment horizontal="right" wrapText="1"/>
    </xf>
    <xf numFmtId="164" fontId="80" fillId="0" borderId="0" xfId="0" applyNumberFormat="1" applyFont="1"/>
    <xf numFmtId="0" fontId="20" fillId="0" borderId="7" xfId="0" applyFont="1" applyBorder="1"/>
    <xf numFmtId="0" fontId="20" fillId="0" borderId="0" xfId="0" applyFont="1"/>
    <xf numFmtId="164" fontId="79" fillId="0" borderId="0" xfId="0" applyNumberFormat="1" applyFont="1"/>
    <xf numFmtId="180" fontId="80" fillId="0" borderId="0" xfId="0" applyNumberFormat="1" applyFont="1"/>
    <xf numFmtId="37" fontId="83" fillId="0" borderId="0" xfId="8" applyNumberFormat="1" applyFont="1" applyFill="1" applyBorder="1" applyAlignment="1">
      <alignment horizontal="right"/>
    </xf>
    <xf numFmtId="9" fontId="83" fillId="0" borderId="7" xfId="3" applyFont="1" applyFill="1" applyBorder="1"/>
    <xf numFmtId="168" fontId="83" fillId="0" borderId="0" xfId="26" applyNumberFormat="1" applyFont="1"/>
    <xf numFmtId="168" fontId="84" fillId="0" borderId="0" xfId="26" applyNumberFormat="1" applyFont="1"/>
    <xf numFmtId="37" fontId="83" fillId="0" borderId="10" xfId="8" applyNumberFormat="1" applyFont="1" applyFill="1" applyBorder="1" applyAlignment="1">
      <alignment horizontal="right"/>
    </xf>
    <xf numFmtId="173" fontId="84" fillId="0" borderId="0" xfId="27" applyNumberFormat="1" applyFont="1" applyFill="1"/>
    <xf numFmtId="173" fontId="84" fillId="0" borderId="7" xfId="27" applyNumberFormat="1" applyFont="1" applyFill="1" applyBorder="1"/>
    <xf numFmtId="37" fontId="83" fillId="0" borderId="0" xfId="8" applyNumberFormat="1" applyFont="1" applyFill="1" applyAlignment="1">
      <alignment horizontal="right"/>
    </xf>
    <xf numFmtId="168" fontId="83" fillId="0" borderId="0" xfId="26" applyNumberFormat="1" applyFont="1" applyAlignment="1">
      <alignment horizontal="center" vertical="top" wrapText="1"/>
    </xf>
    <xf numFmtId="173" fontId="84" fillId="0" borderId="10" xfId="27" applyNumberFormat="1" applyFont="1" applyFill="1" applyBorder="1"/>
    <xf numFmtId="173" fontId="84" fillId="0" borderId="14" xfId="27" applyNumberFormat="1" applyFont="1" applyFill="1" applyBorder="1"/>
    <xf numFmtId="173" fontId="84" fillId="0" borderId="0" xfId="27" applyNumberFormat="1" applyFont="1" applyFill="1" applyBorder="1"/>
    <xf numFmtId="170" fontId="0" fillId="0" borderId="0" xfId="8" applyFont="1" applyFill="1"/>
    <xf numFmtId="164" fontId="84" fillId="0" borderId="10" xfId="8" applyNumberFormat="1" applyFont="1" applyFill="1" applyBorder="1" applyAlignment="1">
      <alignment horizontal="right"/>
    </xf>
    <xf numFmtId="164" fontId="84" fillId="0" borderId="14" xfId="8" applyNumberFormat="1" applyFont="1" applyFill="1" applyBorder="1" applyAlignment="1">
      <alignment horizontal="right"/>
    </xf>
    <xf numFmtId="164" fontId="84" fillId="0" borderId="10" xfId="8" applyNumberFormat="1" applyFont="1" applyFill="1" applyBorder="1"/>
    <xf numFmtId="164" fontId="84" fillId="0" borderId="13" xfId="8" applyNumberFormat="1" applyFont="1" applyFill="1" applyBorder="1"/>
    <xf numFmtId="173" fontId="84" fillId="0" borderId="13" xfId="27" applyNumberFormat="1" applyFont="1" applyFill="1" applyBorder="1" applyAlignment="1">
      <alignment horizontal="right"/>
    </xf>
    <xf numFmtId="173" fontId="84" fillId="0" borderId="0" xfId="27" applyNumberFormat="1" applyFont="1" applyFill="1" applyBorder="1" applyAlignment="1">
      <alignment horizontal="right"/>
    </xf>
    <xf numFmtId="37" fontId="83" fillId="0" borderId="14" xfId="8" applyNumberFormat="1" applyFont="1" applyFill="1" applyBorder="1" applyAlignment="1">
      <alignment horizontal="right"/>
    </xf>
    <xf numFmtId="173" fontId="84" fillId="0" borderId="10" xfId="27" applyNumberFormat="1" applyFont="1" applyFill="1" applyBorder="1" applyAlignment="1">
      <alignment horizontal="right"/>
    </xf>
    <xf numFmtId="173" fontId="84" fillId="0" borderId="14" xfId="27" applyNumberFormat="1" applyFont="1" applyFill="1" applyBorder="1" applyAlignment="1">
      <alignment horizontal="right"/>
    </xf>
    <xf numFmtId="0" fontId="85" fillId="0" borderId="1" xfId="0" applyFont="1" applyBorder="1"/>
    <xf numFmtId="164" fontId="84" fillId="0" borderId="0" xfId="8" applyNumberFormat="1" applyFont="1" applyFill="1"/>
    <xf numFmtId="173" fontId="84" fillId="0" borderId="13" xfId="27" applyNumberFormat="1" applyFont="1" applyFill="1" applyBorder="1"/>
    <xf numFmtId="173" fontId="83" fillId="0" borderId="10" xfId="27" applyNumberFormat="1" applyFont="1" applyFill="1" applyBorder="1" applyAlignment="1">
      <alignment horizontal="right"/>
    </xf>
    <xf numFmtId="173" fontId="83" fillId="0" borderId="14" xfId="27" applyNumberFormat="1" applyFont="1" applyFill="1" applyBorder="1" applyAlignment="1">
      <alignment horizontal="right"/>
    </xf>
    <xf numFmtId="43" fontId="0" fillId="0" borderId="17" xfId="1" applyFont="1" applyFill="1" applyBorder="1"/>
    <xf numFmtId="37" fontId="83" fillId="0" borderId="16" xfId="8" applyNumberFormat="1" applyFont="1" applyFill="1" applyBorder="1"/>
    <xf numFmtId="37" fontId="83" fillId="0" borderId="0" xfId="8" applyNumberFormat="1" applyFont="1" applyFill="1" applyBorder="1"/>
    <xf numFmtId="173" fontId="83" fillId="0" borderId="0" xfId="27" applyNumberFormat="1" applyFont="1" applyFill="1" applyBorder="1" applyAlignment="1">
      <alignment horizontal="right"/>
    </xf>
    <xf numFmtId="164" fontId="83" fillId="0" borderId="0" xfId="8" applyNumberFormat="1" applyFont="1" applyFill="1" applyBorder="1" applyAlignment="1">
      <alignment horizontal="right"/>
    </xf>
    <xf numFmtId="185" fontId="0" fillId="0" borderId="0" xfId="0" applyNumberFormat="1"/>
    <xf numFmtId="164" fontId="83" fillId="0" borderId="16" xfId="27" applyNumberFormat="1" applyFont="1" applyFill="1" applyBorder="1" applyAlignment="1">
      <alignment horizontal="right"/>
    </xf>
    <xf numFmtId="164" fontId="83" fillId="0" borderId="0" xfId="27" applyNumberFormat="1" applyFont="1" applyFill="1" applyBorder="1" applyAlignment="1">
      <alignment horizontal="right"/>
    </xf>
    <xf numFmtId="0" fontId="87" fillId="0" borderId="3" xfId="0" applyFont="1" applyBorder="1" applyAlignment="1">
      <alignment vertical="center" wrapText="1"/>
    </xf>
    <xf numFmtId="0" fontId="87" fillId="0" borderId="3" xfId="0" applyFont="1" applyBorder="1" applyAlignment="1">
      <alignment horizontal="center" vertical="center" wrapText="1"/>
    </xf>
    <xf numFmtId="0" fontId="87" fillId="0" borderId="0" xfId="0" applyFont="1" applyAlignment="1">
      <alignment vertical="center" wrapText="1"/>
    </xf>
    <xf numFmtId="37" fontId="87" fillId="0" borderId="0" xfId="0" applyNumberFormat="1" applyFont="1" applyAlignment="1">
      <alignment horizontal="right" vertical="center" wrapText="1"/>
    </xf>
    <xf numFmtId="0" fontId="87" fillId="0" borderId="0" xfId="0" applyFont="1" applyAlignment="1">
      <alignment horizontal="right" vertical="center" wrapText="1"/>
    </xf>
    <xf numFmtId="170" fontId="83" fillId="0" borderId="14" xfId="27" applyNumberFormat="1" applyFont="1" applyFill="1" applyBorder="1"/>
    <xf numFmtId="173" fontId="83" fillId="0" borderId="14" xfId="27" applyNumberFormat="1" applyFont="1" applyFill="1" applyBorder="1"/>
    <xf numFmtId="173" fontId="83" fillId="0" borderId="0" xfId="27" applyNumberFormat="1" applyFont="1" applyFill="1" applyBorder="1"/>
    <xf numFmtId="0" fontId="88" fillId="0" borderId="0" xfId="0" applyFont="1" applyAlignment="1">
      <alignment vertical="center" wrapText="1"/>
    </xf>
    <xf numFmtId="0" fontId="88" fillId="0" borderId="0" xfId="0" applyFont="1" applyAlignment="1">
      <alignment horizontal="right" vertical="center" wrapText="1"/>
    </xf>
    <xf numFmtId="0" fontId="87" fillId="0" borderId="0" xfId="0" applyFont="1"/>
    <xf numFmtId="37" fontId="88" fillId="0" borderId="0" xfId="0" applyNumberFormat="1" applyFont="1" applyAlignment="1">
      <alignment horizontal="right" vertical="center" wrapText="1"/>
    </xf>
    <xf numFmtId="37" fontId="84" fillId="0" borderId="14" xfId="8" applyNumberFormat="1" applyFont="1" applyFill="1" applyBorder="1" applyAlignment="1">
      <alignment horizontal="right"/>
    </xf>
    <xf numFmtId="37" fontId="84" fillId="0" borderId="0" xfId="8" applyNumberFormat="1" applyFont="1" applyFill="1" applyBorder="1" applyAlignment="1">
      <alignment horizontal="right"/>
    </xf>
    <xf numFmtId="164" fontId="87" fillId="0" borderId="0" xfId="1" applyNumberFormat="1" applyFont="1" applyFill="1" applyAlignment="1">
      <alignment horizontal="right" vertical="center" wrapText="1"/>
    </xf>
    <xf numFmtId="164" fontId="88" fillId="0" borderId="0" xfId="1" applyNumberFormat="1" applyFont="1" applyFill="1" applyAlignment="1">
      <alignment horizontal="right" vertical="center" wrapText="1"/>
    </xf>
    <xf numFmtId="37" fontId="0" fillId="0" borderId="0" xfId="0" applyNumberFormat="1"/>
    <xf numFmtId="37" fontId="84" fillId="0" borderId="13" xfId="8" applyNumberFormat="1" applyFont="1" applyFill="1" applyBorder="1" applyAlignment="1">
      <alignment horizontal="right"/>
    </xf>
    <xf numFmtId="173" fontId="90" fillId="0" borderId="10" xfId="27" applyNumberFormat="1" applyFont="1" applyFill="1" applyBorder="1" applyAlignment="1">
      <alignment horizontal="right"/>
    </xf>
    <xf numFmtId="37" fontId="84" fillId="0" borderId="14" xfId="8" applyNumberFormat="1" applyFont="1" applyFill="1" applyBorder="1"/>
    <xf numFmtId="37" fontId="84" fillId="0" borderId="0" xfId="8" applyNumberFormat="1" applyFont="1" applyFill="1" applyBorder="1"/>
    <xf numFmtId="170" fontId="84" fillId="0" borderId="14" xfId="8" applyFont="1" applyFill="1" applyBorder="1" applyAlignment="1">
      <alignment horizontal="right"/>
    </xf>
    <xf numFmtId="170" fontId="84" fillId="0" borderId="0" xfId="8" applyFont="1" applyFill="1" applyBorder="1" applyAlignment="1">
      <alignment horizontal="right"/>
    </xf>
    <xf numFmtId="37" fontId="84" fillId="0" borderId="0" xfId="8" applyNumberFormat="1" applyFont="1" applyFill="1"/>
    <xf numFmtId="37" fontId="84" fillId="0" borderId="0" xfId="8" applyNumberFormat="1" applyFont="1" applyFill="1" applyAlignment="1">
      <alignment horizontal="right"/>
    </xf>
    <xf numFmtId="168" fontId="91" fillId="0" borderId="0" xfId="26" applyNumberFormat="1" applyFont="1"/>
    <xf numFmtId="9" fontId="83" fillId="0" borderId="0" xfId="2" applyFont="1" applyFill="1"/>
    <xf numFmtId="9" fontId="84" fillId="0" borderId="0" xfId="2" applyFont="1" applyFill="1"/>
    <xf numFmtId="173" fontId="83" fillId="0" borderId="0" xfId="28" applyNumberFormat="1" applyFont="1" applyFill="1"/>
    <xf numFmtId="186" fontId="84" fillId="0" borderId="0" xfId="29" applyFont="1"/>
    <xf numFmtId="186" fontId="70" fillId="0" borderId="0" xfId="30" applyFont="1"/>
    <xf numFmtId="187" fontId="92" fillId="0" borderId="6" xfId="31" applyNumberFormat="1" applyFont="1" applyFill="1" applyBorder="1"/>
    <xf numFmtId="187" fontId="92" fillId="0" borderId="5" xfId="31" applyNumberFormat="1" applyFont="1" applyFill="1" applyBorder="1"/>
    <xf numFmtId="187" fontId="70" fillId="0" borderId="9" xfId="31" applyNumberFormat="1" applyFont="1" applyFill="1" applyBorder="1"/>
    <xf numFmtId="187" fontId="70" fillId="0" borderId="7" xfId="31" applyNumberFormat="1" applyFont="1" applyFill="1" applyBorder="1"/>
    <xf numFmtId="187" fontId="70" fillId="0" borderId="0" xfId="31" applyNumberFormat="1" applyFont="1" applyFill="1"/>
    <xf numFmtId="187" fontId="70" fillId="0" borderId="10" xfId="31" applyNumberFormat="1" applyFont="1" applyFill="1" applyBorder="1"/>
    <xf numFmtId="173" fontId="70" fillId="0" borderId="0" xfId="31" applyNumberFormat="1" applyFont="1" applyFill="1" applyAlignment="1">
      <alignment horizontal="right"/>
    </xf>
    <xf numFmtId="187" fontId="70" fillId="0" borderId="12" xfId="31" applyNumberFormat="1" applyFont="1" applyFill="1" applyBorder="1"/>
    <xf numFmtId="187" fontId="70" fillId="0" borderId="4" xfId="31" applyNumberFormat="1" applyFont="1" applyFill="1" applyBorder="1"/>
    <xf numFmtId="164" fontId="83" fillId="0" borderId="0" xfId="26" applyFont="1"/>
    <xf numFmtId="187" fontId="92" fillId="0" borderId="10" xfId="31" applyNumberFormat="1" applyFont="1" applyFill="1" applyBorder="1"/>
    <xf numFmtId="186" fontId="70" fillId="0" borderId="12" xfId="30" applyFont="1" applyBorder="1"/>
    <xf numFmtId="186" fontId="70" fillId="0" borderId="4" xfId="30" applyFont="1" applyBorder="1"/>
    <xf numFmtId="186" fontId="70" fillId="0" borderId="17" xfId="30" applyFont="1" applyBorder="1"/>
    <xf numFmtId="168" fontId="83" fillId="0" borderId="11" xfId="26" applyNumberFormat="1" applyFont="1" applyBorder="1"/>
    <xf numFmtId="168" fontId="84" fillId="0" borderId="11" xfId="26" applyNumberFormat="1" applyFont="1" applyBorder="1"/>
    <xf numFmtId="168" fontId="83" fillId="0" borderId="1" xfId="26" applyNumberFormat="1" applyFont="1" applyBorder="1"/>
    <xf numFmtId="164" fontId="84" fillId="0" borderId="0" xfId="26" applyFont="1"/>
    <xf numFmtId="168" fontId="84" fillId="0" borderId="6" xfId="26" applyNumberFormat="1" applyFont="1" applyBorder="1"/>
    <xf numFmtId="168" fontId="84" fillId="0" borderId="9" xfId="26" applyNumberFormat="1" applyFont="1" applyBorder="1"/>
    <xf numFmtId="168" fontId="84" fillId="0" borderId="20" xfId="26" applyNumberFormat="1" applyFont="1" applyBorder="1"/>
    <xf numFmtId="168" fontId="84" fillId="0" borderId="1" xfId="26" applyNumberFormat="1" applyFont="1" applyBorder="1"/>
    <xf numFmtId="164" fontId="84" fillId="0" borderId="12" xfId="8" applyNumberFormat="1" applyFont="1" applyFill="1" applyBorder="1"/>
    <xf numFmtId="168" fontId="84" fillId="0" borderId="17" xfId="26" applyNumberFormat="1" applyFont="1" applyBorder="1"/>
    <xf numFmtId="164" fontId="84" fillId="0" borderId="20" xfId="8" applyNumberFormat="1" applyFont="1" applyFill="1" applyBorder="1"/>
    <xf numFmtId="164" fontId="84" fillId="0" borderId="1" xfId="8" applyNumberFormat="1" applyFont="1" applyFill="1" applyBorder="1"/>
    <xf numFmtId="0" fontId="78" fillId="0" borderId="0" xfId="0" applyFont="1"/>
    <xf numFmtId="0" fontId="58" fillId="3" borderId="0" xfId="0" applyFont="1" applyFill="1"/>
    <xf numFmtId="0" fontId="19" fillId="3" borderId="1" xfId="0" applyFont="1" applyFill="1" applyBorder="1"/>
    <xf numFmtId="43" fontId="58" fillId="3" borderId="1" xfId="1" applyFont="1" applyFill="1" applyBorder="1"/>
    <xf numFmtId="43" fontId="58" fillId="3" borderId="1" xfId="0" applyNumberFormat="1" applyFont="1" applyFill="1" applyBorder="1"/>
    <xf numFmtId="43" fontId="19" fillId="3" borderId="1" xfId="1" applyFont="1" applyFill="1" applyBorder="1"/>
    <xf numFmtId="43" fontId="19" fillId="3" borderId="1" xfId="0" applyNumberFormat="1" applyFont="1" applyFill="1" applyBorder="1"/>
    <xf numFmtId="0" fontId="58" fillId="3" borderId="1" xfId="0" applyFont="1" applyFill="1" applyBorder="1"/>
    <xf numFmtId="168" fontId="84" fillId="3" borderId="0" xfId="26" applyNumberFormat="1" applyFont="1" applyFill="1"/>
    <xf numFmtId="43" fontId="2" fillId="0" borderId="1" xfId="1" applyFont="1" applyBorder="1" applyAlignment="1">
      <alignment horizontal="center" vertical="center" wrapText="1"/>
    </xf>
    <xf numFmtId="164" fontId="78" fillId="0" borderId="0" xfId="1" applyNumberFormat="1" applyFont="1"/>
    <xf numFmtId="164" fontId="0" fillId="0" borderId="1" xfId="1" applyNumberFormat="1" applyFont="1" applyBorder="1" applyAlignment="1">
      <alignment vertical="center"/>
    </xf>
    <xf numFmtId="164" fontId="2" fillId="0" borderId="1" xfId="1" applyNumberFormat="1" applyFont="1" applyBorder="1" applyAlignment="1">
      <alignment vertical="center"/>
    </xf>
    <xf numFmtId="164" fontId="58" fillId="0" borderId="0" xfId="1" applyNumberFormat="1" applyFont="1"/>
    <xf numFmtId="0" fontId="92" fillId="0" borderId="9" xfId="0" applyFont="1" applyBorder="1" applyAlignment="1">
      <alignment horizontal="center"/>
    </xf>
    <xf numFmtId="0" fontId="92" fillId="0" borderId="5" xfId="0" applyFont="1" applyBorder="1" applyAlignment="1">
      <alignment horizontal="center"/>
    </xf>
    <xf numFmtId="0" fontId="92" fillId="0" borderId="11" xfId="0" applyFont="1" applyBorder="1" applyAlignment="1">
      <alignment horizontal="center"/>
    </xf>
    <xf numFmtId="0" fontId="92" fillId="0" borderId="10" xfId="0" applyFont="1" applyBorder="1" applyAlignment="1">
      <alignment horizontal="center"/>
    </xf>
    <xf numFmtId="0" fontId="92" fillId="0" borderId="0" xfId="0" applyFont="1" applyAlignment="1">
      <alignment horizontal="center"/>
    </xf>
    <xf numFmtId="0" fontId="92" fillId="0" borderId="14" xfId="0" applyFont="1" applyBorder="1" applyAlignment="1">
      <alignment horizontal="center"/>
    </xf>
    <xf numFmtId="0" fontId="92" fillId="0" borderId="73" xfId="0" applyFont="1" applyBorder="1" applyAlignment="1">
      <alignment horizontal="center"/>
    </xf>
    <xf numFmtId="0" fontId="92" fillId="0" borderId="74" xfId="0" applyFont="1" applyBorder="1" applyAlignment="1">
      <alignment horizontal="center"/>
    </xf>
    <xf numFmtId="0" fontId="92" fillId="0" borderId="71" xfId="0" applyFont="1" applyBorder="1" applyAlignment="1">
      <alignment horizontal="center"/>
    </xf>
    <xf numFmtId="0" fontId="84" fillId="0" borderId="20" xfId="0" applyFont="1" applyBorder="1" applyAlignment="1">
      <alignment horizontal="center"/>
    </xf>
    <xf numFmtId="0" fontId="84" fillId="0" borderId="8" xfId="0" applyFont="1" applyBorder="1" applyAlignment="1">
      <alignment horizontal="center"/>
    </xf>
    <xf numFmtId="0" fontId="84" fillId="0" borderId="20" xfId="0" applyFont="1" applyBorder="1"/>
    <xf numFmtId="0" fontId="84" fillId="2" borderId="20" xfId="0" applyFont="1" applyFill="1" applyBorder="1" applyAlignment="1">
      <alignment horizontal="center"/>
    </xf>
    <xf numFmtId="0" fontId="84" fillId="7" borderId="20" xfId="0" applyFont="1" applyFill="1" applyBorder="1" applyAlignment="1">
      <alignment horizontal="center"/>
    </xf>
    <xf numFmtId="0" fontId="84" fillId="7" borderId="8" xfId="0" applyFont="1" applyFill="1" applyBorder="1" applyAlignment="1">
      <alignment horizontal="center"/>
    </xf>
    <xf numFmtId="0" fontId="84" fillId="0" borderId="13" xfId="0" applyFont="1" applyBorder="1" applyAlignment="1">
      <alignment horizontal="center"/>
    </xf>
    <xf numFmtId="0" fontId="84" fillId="7" borderId="1" xfId="0" applyFont="1" applyFill="1" applyBorder="1" applyAlignment="1">
      <alignment horizontal="center"/>
    </xf>
    <xf numFmtId="0" fontId="84" fillId="0" borderId="1" xfId="0" applyFont="1" applyBorder="1" applyAlignment="1">
      <alignment horizontal="center"/>
    </xf>
    <xf numFmtId="1" fontId="84" fillId="0" borderId="1" xfId="0" applyNumberFormat="1" applyFont="1" applyBorder="1"/>
    <xf numFmtId="1" fontId="84" fillId="7" borderId="1" xfId="0" applyNumberFormat="1" applyFont="1" applyFill="1" applyBorder="1"/>
    <xf numFmtId="1" fontId="95" fillId="0" borderId="1" xfId="0" applyNumberFormat="1" applyFont="1" applyBorder="1"/>
    <xf numFmtId="0" fontId="84" fillId="0" borderId="0" xfId="0" applyFont="1" applyAlignment="1">
      <alignment horizontal="center"/>
    </xf>
    <xf numFmtId="0" fontId="84" fillId="0" borderId="0" xfId="0" applyFont="1"/>
    <xf numFmtId="0" fontId="84" fillId="0" borderId="17" xfId="0" applyFont="1" applyBorder="1"/>
    <xf numFmtId="0" fontId="70" fillId="0" borderId="17" xfId="0" applyFont="1" applyBorder="1"/>
    <xf numFmtId="0" fontId="84" fillId="0" borderId="4" xfId="0" applyFont="1" applyBorder="1" applyAlignment="1">
      <alignment horizontal="center"/>
    </xf>
    <xf numFmtId="0" fontId="84" fillId="0" borderId="17" xfId="0" applyFont="1" applyBorder="1" applyAlignment="1">
      <alignment horizontal="center"/>
    </xf>
    <xf numFmtId="0" fontId="70" fillId="0" borderId="20" xfId="0" applyFont="1" applyBorder="1"/>
    <xf numFmtId="0" fontId="84" fillId="0" borderId="15" xfId="0" applyFont="1" applyBorder="1"/>
    <xf numFmtId="1" fontId="83" fillId="0" borderId="16" xfId="0" applyNumberFormat="1" applyFont="1" applyBorder="1"/>
    <xf numFmtId="164" fontId="2" fillId="0" borderId="1" xfId="0" applyNumberFormat="1" applyFont="1" applyBorder="1"/>
    <xf numFmtId="170" fontId="34" fillId="0" borderId="1" xfId="9" applyFont="1" applyBorder="1" applyAlignment="1">
      <alignment vertical="top"/>
    </xf>
    <xf numFmtId="169" fontId="11" fillId="0" borderId="7" xfId="1" applyNumberFormat="1" applyFont="1" applyFill="1" applyBorder="1" applyAlignment="1">
      <alignment horizontal="right"/>
    </xf>
    <xf numFmtId="169" fontId="11" fillId="0" borderId="12" xfId="1" applyNumberFormat="1" applyFont="1" applyFill="1" applyBorder="1" applyAlignment="1">
      <alignment horizontal="right"/>
    </xf>
    <xf numFmtId="0" fontId="98" fillId="0" borderId="0" xfId="32" applyFont="1" applyAlignment="1" applyProtection="1">
      <alignment wrapText="1"/>
      <protection locked="0"/>
    </xf>
    <xf numFmtId="14" fontId="98" fillId="0" borderId="0" xfId="32" applyNumberFormat="1" applyFont="1" applyAlignment="1" applyProtection="1">
      <alignment wrapText="1"/>
      <protection locked="0"/>
    </xf>
    <xf numFmtId="0" fontId="98" fillId="8" borderId="0" xfId="32" applyFont="1" applyFill="1" applyAlignment="1" applyProtection="1">
      <alignment horizontal="center" vertical="center" shrinkToFit="1"/>
      <protection locked="0"/>
    </xf>
    <xf numFmtId="0" fontId="98" fillId="8" borderId="0" xfId="32" applyFont="1" applyFill="1" applyProtection="1">
      <protection locked="0"/>
    </xf>
    <xf numFmtId="0" fontId="98" fillId="8" borderId="0" xfId="32" applyFont="1" applyFill="1" applyAlignment="1" applyProtection="1">
      <alignment horizontal="left" shrinkToFit="1"/>
      <protection locked="0"/>
    </xf>
    <xf numFmtId="15" fontId="98" fillId="8" borderId="0" xfId="32" applyNumberFormat="1" applyFont="1" applyFill="1" applyProtection="1">
      <protection locked="0"/>
    </xf>
    <xf numFmtId="170" fontId="98" fillId="8" borderId="0" xfId="33" applyFont="1" applyFill="1" applyProtection="1">
      <protection locked="0"/>
    </xf>
    <xf numFmtId="170" fontId="98" fillId="8" borderId="0" xfId="33" applyFont="1" applyFill="1" applyAlignment="1" applyProtection="1">
      <alignment horizontal="center" vertical="center"/>
      <protection locked="0"/>
    </xf>
    <xf numFmtId="15" fontId="99" fillId="4" borderId="1" xfId="32" applyNumberFormat="1" applyFont="1" applyFill="1" applyBorder="1" applyAlignment="1" applyProtection="1">
      <alignment horizontal="center" vertical="center" wrapText="1"/>
      <protection locked="0"/>
    </xf>
    <xf numFmtId="0" fontId="98" fillId="0" borderId="1" xfId="33" applyNumberFormat="1" applyFont="1" applyFill="1" applyBorder="1" applyAlignment="1" applyProtection="1">
      <alignment horizontal="center" vertical="center"/>
      <protection locked="0"/>
    </xf>
    <xf numFmtId="49" fontId="100" fillId="0" borderId="1" xfId="0" applyNumberFormat="1" applyFont="1" applyBorder="1" applyAlignment="1">
      <alignment vertical="center"/>
    </xf>
    <xf numFmtId="0" fontId="100" fillId="0" borderId="1" xfId="0" applyFont="1" applyBorder="1" applyAlignment="1">
      <alignment horizontal="center" vertical="center"/>
    </xf>
    <xf numFmtId="15" fontId="100" fillId="0" borderId="1" xfId="0" applyNumberFormat="1" applyFont="1" applyBorder="1" applyAlignment="1">
      <alignment horizontal="center" vertical="center"/>
    </xf>
    <xf numFmtId="43" fontId="100" fillId="0" borderId="1" xfId="1" applyFont="1" applyBorder="1" applyAlignment="1">
      <alignment vertical="center"/>
    </xf>
    <xf numFmtId="15" fontId="98" fillId="0" borderId="1" xfId="33" applyNumberFormat="1" applyFont="1" applyFill="1" applyBorder="1" applyAlignment="1" applyProtection="1">
      <alignment horizontal="center" vertical="center"/>
      <protection locked="0"/>
    </xf>
    <xf numFmtId="170" fontId="98" fillId="0" borderId="1" xfId="33" applyFont="1" applyFill="1" applyBorder="1" applyAlignment="1" applyProtection="1">
      <alignment horizontal="center" vertical="center"/>
      <protection locked="0"/>
    </xf>
    <xf numFmtId="43" fontId="101" fillId="0" borderId="1" xfId="1" applyFont="1" applyBorder="1" applyAlignment="1">
      <alignment vertical="center"/>
    </xf>
    <xf numFmtId="43" fontId="100" fillId="0" borderId="1" xfId="34" applyNumberFormat="1" applyFont="1" applyBorder="1" applyAlignment="1">
      <alignment vertical="center"/>
    </xf>
    <xf numFmtId="43" fontId="101" fillId="0" borderId="1" xfId="34" applyNumberFormat="1" applyFont="1" applyBorder="1" applyAlignment="1">
      <alignment vertical="center"/>
    </xf>
    <xf numFmtId="43" fontId="100" fillId="0" borderId="11" xfId="34" applyNumberFormat="1" applyFont="1" applyBorder="1" applyAlignment="1">
      <alignment vertical="center"/>
    </xf>
    <xf numFmtId="43" fontId="101" fillId="0" borderId="11" xfId="34" applyNumberFormat="1" applyFont="1" applyBorder="1" applyAlignment="1">
      <alignment vertical="center"/>
    </xf>
    <xf numFmtId="0" fontId="100" fillId="0" borderId="11" xfId="0" applyFont="1" applyBorder="1" applyAlignment="1">
      <alignment horizontal="center" vertical="center"/>
    </xf>
    <xf numFmtId="15" fontId="100" fillId="0" borderId="11" xfId="0" applyNumberFormat="1" applyFont="1" applyBorder="1" applyAlignment="1">
      <alignment horizontal="center" vertical="center"/>
    </xf>
    <xf numFmtId="188" fontId="100" fillId="0" borderId="1" xfId="34" applyNumberFormat="1" applyFont="1" applyBorder="1" applyAlignment="1">
      <alignment vertical="center"/>
    </xf>
    <xf numFmtId="188" fontId="101" fillId="0" borderId="11" xfId="34" applyNumberFormat="1" applyFont="1" applyBorder="1" applyAlignment="1">
      <alignment vertical="center"/>
    </xf>
    <xf numFmtId="188" fontId="100" fillId="0" borderId="11" xfId="34" applyNumberFormat="1" applyFont="1" applyBorder="1" applyAlignment="1">
      <alignment vertical="center"/>
    </xf>
    <xf numFmtId="0" fontId="100" fillId="9" borderId="1" xfId="0" applyFont="1" applyFill="1" applyBorder="1" applyAlignment="1">
      <alignment horizontal="center" vertical="center"/>
    </xf>
    <xf numFmtId="15" fontId="100" fillId="9" borderId="1" xfId="0" applyNumberFormat="1" applyFont="1" applyFill="1" applyBorder="1" applyAlignment="1">
      <alignment horizontal="center" vertical="center"/>
    </xf>
    <xf numFmtId="43" fontId="100" fillId="9" borderId="11" xfId="34" applyNumberFormat="1" applyFont="1" applyFill="1" applyBorder="1" applyAlignment="1">
      <alignment vertical="center"/>
    </xf>
    <xf numFmtId="0" fontId="59" fillId="4" borderId="1" xfId="33" applyNumberFormat="1" applyFont="1" applyFill="1" applyBorder="1" applyAlignment="1" applyProtection="1">
      <alignment horizontal="center" vertical="center"/>
      <protection locked="0"/>
    </xf>
    <xf numFmtId="0" fontId="59" fillId="4" borderId="1" xfId="33" applyNumberFormat="1" applyFont="1" applyFill="1" applyBorder="1" applyAlignment="1" applyProtection="1">
      <alignment horizontal="center" vertical="center" shrinkToFit="1"/>
      <protection locked="0"/>
    </xf>
    <xf numFmtId="15" fontId="59" fillId="4" borderId="1" xfId="33" applyNumberFormat="1" applyFont="1" applyFill="1" applyBorder="1" applyAlignment="1" applyProtection="1">
      <alignment horizontal="center" vertical="center"/>
      <protection locked="0"/>
    </xf>
    <xf numFmtId="170" fontId="59" fillId="4" borderId="1" xfId="33" applyFont="1" applyFill="1" applyBorder="1" applyAlignment="1" applyProtection="1">
      <alignment horizontal="center" vertical="center"/>
      <protection locked="0"/>
    </xf>
    <xf numFmtId="0" fontId="62" fillId="0" borderId="0" xfId="32" applyFont="1" applyAlignment="1" applyProtection="1">
      <alignment wrapText="1"/>
      <protection locked="0"/>
    </xf>
    <xf numFmtId="0" fontId="98" fillId="0" borderId="0" xfId="32" applyFont="1" applyAlignment="1" applyProtection="1">
      <alignment horizontal="left" shrinkToFit="1"/>
      <protection locked="0"/>
    </xf>
    <xf numFmtId="0" fontId="98" fillId="0" borderId="0" xfId="32" applyFont="1" applyAlignment="1" applyProtection="1">
      <alignment horizontal="center" vertical="center" shrinkToFit="1"/>
      <protection locked="0"/>
    </xf>
    <xf numFmtId="15" fontId="98" fillId="0" borderId="0" xfId="32" applyNumberFormat="1" applyFont="1" applyAlignment="1" applyProtection="1">
      <alignment wrapText="1"/>
      <protection locked="0"/>
    </xf>
    <xf numFmtId="170" fontId="98" fillId="0" borderId="0" xfId="33" applyFont="1" applyFill="1" applyBorder="1" applyAlignment="1" applyProtection="1">
      <alignment wrapText="1"/>
      <protection locked="0"/>
    </xf>
    <xf numFmtId="170" fontId="98" fillId="0" borderId="0" xfId="33" applyFont="1" applyFill="1" applyBorder="1" applyAlignment="1" applyProtection="1">
      <alignment horizontal="center" vertical="center" wrapText="1"/>
      <protection locked="0"/>
    </xf>
    <xf numFmtId="15" fontId="98" fillId="0" borderId="0" xfId="32" applyNumberFormat="1" applyFont="1" applyAlignment="1" applyProtection="1">
      <alignment shrinkToFit="1"/>
      <protection locked="0"/>
    </xf>
    <xf numFmtId="170" fontId="98" fillId="10" borderId="75" xfId="33" applyFont="1" applyFill="1" applyBorder="1" applyAlignment="1" applyProtection="1">
      <alignment horizontal="center" vertical="center"/>
      <protection locked="0"/>
    </xf>
    <xf numFmtId="15" fontId="98" fillId="0" borderId="0" xfId="32" applyNumberFormat="1" applyFont="1" applyAlignment="1" applyProtection="1">
      <alignment horizontal="right" shrinkToFit="1"/>
      <protection locked="0"/>
    </xf>
    <xf numFmtId="0" fontId="98" fillId="4" borderId="0" xfId="32" applyFont="1" applyFill="1" applyAlignment="1" applyProtection="1">
      <alignment wrapText="1"/>
      <protection locked="0"/>
    </xf>
    <xf numFmtId="173" fontId="99" fillId="0" borderId="0" xfId="33" applyNumberFormat="1" applyFont="1" applyFill="1" applyBorder="1" applyAlignment="1" applyProtection="1">
      <alignment horizontal="center" vertical="center"/>
    </xf>
    <xf numFmtId="170" fontId="98" fillId="0" borderId="0" xfId="33" applyFont="1" applyFill="1" applyBorder="1" applyAlignment="1" applyProtection="1">
      <alignment horizontal="center" wrapText="1"/>
      <protection locked="0"/>
    </xf>
    <xf numFmtId="170" fontId="98" fillId="0" borderId="0" xfId="32" applyNumberFormat="1" applyFont="1" applyAlignment="1" applyProtection="1">
      <alignment wrapText="1"/>
      <protection locked="0"/>
    </xf>
    <xf numFmtId="0" fontId="98" fillId="0" borderId="0" xfId="33" applyNumberFormat="1" applyFont="1" applyFill="1" applyBorder="1" applyAlignment="1" applyProtection="1">
      <alignment horizontal="center" vertical="center" wrapText="1"/>
      <protection locked="0"/>
    </xf>
    <xf numFmtId="170" fontId="104" fillId="0" borderId="76" xfId="32" applyNumberFormat="1" applyFont="1" applyBorder="1" applyAlignment="1" applyProtection="1">
      <alignment horizontal="center" vertical="center" wrapText="1"/>
      <protection locked="0"/>
    </xf>
    <xf numFmtId="170" fontId="98" fillId="0" borderId="76" xfId="33" applyFont="1" applyFill="1" applyBorder="1" applyAlignment="1" applyProtection="1">
      <alignment horizontal="center" vertical="center" wrapText="1"/>
      <protection locked="0"/>
    </xf>
    <xf numFmtId="0" fontId="98" fillId="0" borderId="76" xfId="32" applyFont="1" applyBorder="1" applyAlignment="1" applyProtection="1">
      <alignment horizontal="center" vertical="center" wrapText="1"/>
      <protection locked="0"/>
    </xf>
    <xf numFmtId="0" fontId="98" fillId="0" borderId="76" xfId="33" applyNumberFormat="1" applyFont="1" applyFill="1" applyBorder="1" applyAlignment="1" applyProtection="1">
      <alignment horizontal="center" vertical="center" wrapText="1"/>
      <protection locked="0"/>
    </xf>
    <xf numFmtId="170" fontId="98" fillId="0" borderId="76" xfId="32" applyNumberFormat="1" applyFont="1" applyBorder="1" applyAlignment="1" applyProtection="1">
      <alignment horizontal="center" vertical="center" wrapText="1"/>
      <protection locked="0"/>
    </xf>
    <xf numFmtId="0" fontId="98" fillId="0" borderId="0" xfId="33" applyNumberFormat="1" applyFont="1" applyFill="1" applyBorder="1" applyAlignment="1" applyProtection="1">
      <alignment horizontal="center" wrapText="1"/>
      <protection locked="0"/>
    </xf>
    <xf numFmtId="0" fontId="98" fillId="0" borderId="0" xfId="32" applyFont="1" applyAlignment="1" applyProtection="1">
      <alignment horizontal="center" vertical="center" wrapText="1"/>
      <protection locked="0"/>
    </xf>
    <xf numFmtId="170" fontId="99" fillId="0" borderId="76" xfId="32" applyNumberFormat="1" applyFont="1" applyBorder="1" applyAlignment="1" applyProtection="1">
      <alignment horizontal="center" vertical="center" wrapText="1"/>
      <protection locked="0"/>
    </xf>
    <xf numFmtId="170" fontId="99" fillId="0" borderId="76" xfId="33" applyFont="1" applyFill="1" applyBorder="1" applyAlignment="1" applyProtection="1">
      <alignment horizontal="center" vertical="center" wrapText="1"/>
      <protection locked="0"/>
    </xf>
    <xf numFmtId="0" fontId="99" fillId="0" borderId="76" xfId="32" applyFont="1" applyBorder="1" applyAlignment="1" applyProtection="1">
      <alignment horizontal="center" vertical="center" wrapText="1"/>
      <protection locked="0"/>
    </xf>
    <xf numFmtId="0" fontId="99" fillId="0" borderId="76" xfId="33" applyNumberFormat="1" applyFont="1" applyFill="1" applyBorder="1" applyAlignment="1" applyProtection="1">
      <alignment horizontal="center" vertical="center" wrapText="1"/>
      <protection locked="0"/>
    </xf>
    <xf numFmtId="0" fontId="98" fillId="0" borderId="76" xfId="32" applyFont="1" applyBorder="1" applyAlignment="1" applyProtection="1">
      <alignment shrinkToFit="1"/>
      <protection locked="0"/>
    </xf>
    <xf numFmtId="0" fontId="98" fillId="0" borderId="76" xfId="33" applyNumberFormat="1" applyFont="1" applyFill="1" applyBorder="1" applyAlignment="1" applyProtection="1">
      <alignment horizontal="center" wrapText="1"/>
      <protection locked="0"/>
    </xf>
    <xf numFmtId="15" fontId="98" fillId="0" borderId="76" xfId="32" applyNumberFormat="1" applyFont="1" applyBorder="1" applyAlignment="1" applyProtection="1">
      <alignment wrapText="1"/>
      <protection locked="0"/>
    </xf>
    <xf numFmtId="170" fontId="105" fillId="0" borderId="76" xfId="32" applyNumberFormat="1" applyFont="1" applyBorder="1" applyAlignment="1" applyProtection="1">
      <alignment horizontal="center" vertical="center" wrapText="1"/>
      <protection locked="0"/>
    </xf>
    <xf numFmtId="170" fontId="106" fillId="0" borderId="76" xfId="33" applyFont="1" applyFill="1" applyBorder="1" applyAlignment="1" applyProtection="1">
      <alignment horizontal="center" vertical="center" wrapText="1"/>
      <protection locked="0"/>
    </xf>
    <xf numFmtId="170" fontId="106" fillId="0" borderId="76" xfId="32" applyNumberFormat="1" applyFont="1" applyBorder="1" applyAlignment="1" applyProtection="1">
      <alignment horizontal="center" vertical="center" wrapText="1"/>
      <protection locked="0"/>
    </xf>
    <xf numFmtId="0" fontId="106" fillId="0" borderId="76" xfId="33" applyNumberFormat="1" applyFont="1" applyFill="1" applyBorder="1" applyAlignment="1" applyProtection="1">
      <alignment horizontal="center" vertical="center" wrapText="1"/>
      <protection locked="0"/>
    </xf>
    <xf numFmtId="164" fontId="78" fillId="0" borderId="0" xfId="1" applyNumberFormat="1" applyFont="1" applyFill="1"/>
    <xf numFmtId="49" fontId="8" fillId="0" borderId="0" xfId="0" applyNumberFormat="1" applyFont="1" applyAlignment="1">
      <alignment vertical="top"/>
    </xf>
    <xf numFmtId="165" fontId="8" fillId="0" borderId="0" xfId="0" applyNumberFormat="1" applyFont="1" applyAlignment="1">
      <alignment horizontal="right" vertical="top"/>
    </xf>
    <xf numFmtId="166" fontId="8" fillId="0" borderId="0" xfId="0" applyNumberFormat="1" applyFont="1" applyAlignment="1">
      <alignment horizontal="right" vertical="top"/>
    </xf>
    <xf numFmtId="166" fontId="4" fillId="0" borderId="0" xfId="0" applyNumberFormat="1" applyFont="1" applyAlignment="1">
      <alignment horizontal="right" vertical="top"/>
    </xf>
    <xf numFmtId="165" fontId="4" fillId="0" borderId="0" xfId="0" applyNumberFormat="1" applyFont="1" applyAlignment="1">
      <alignment horizontal="right" vertical="top"/>
    </xf>
    <xf numFmtId="43" fontId="107" fillId="0" borderId="0" xfId="1" applyFont="1"/>
    <xf numFmtId="0" fontId="2" fillId="0" borderId="14" xfId="0" applyFont="1" applyBorder="1"/>
    <xf numFmtId="173" fontId="2" fillId="0" borderId="14" xfId="0" applyNumberFormat="1" applyFont="1" applyBorder="1"/>
    <xf numFmtId="164" fontId="2" fillId="0" borderId="14" xfId="1" applyNumberFormat="1" applyFont="1" applyFill="1" applyBorder="1"/>
    <xf numFmtId="173" fontId="0" fillId="0" borderId="10" xfId="0" applyNumberFormat="1" applyBorder="1"/>
    <xf numFmtId="173" fontId="0" fillId="0" borderId="14" xfId="0" applyNumberFormat="1" applyBorder="1"/>
    <xf numFmtId="164" fontId="0" fillId="0" borderId="14" xfId="1" applyNumberFormat="1" applyFont="1" applyFill="1" applyBorder="1"/>
    <xf numFmtId="173" fontId="2" fillId="0" borderId="1" xfId="0" applyNumberFormat="1" applyFont="1" applyBorder="1"/>
    <xf numFmtId="164" fontId="2" fillId="0" borderId="1" xfId="1" applyNumberFormat="1" applyFont="1" applyFill="1" applyBorder="1"/>
    <xf numFmtId="0" fontId="2" fillId="0" borderId="11" xfId="0" applyFont="1" applyBorder="1"/>
    <xf numFmtId="173" fontId="2" fillId="0" borderId="11" xfId="0" applyNumberFormat="1" applyFont="1" applyBorder="1"/>
    <xf numFmtId="0" fontId="2" fillId="0" borderId="13" xfId="0" applyFont="1" applyBorder="1"/>
    <xf numFmtId="173" fontId="2" fillId="0" borderId="13" xfId="0" applyNumberFormat="1" applyFont="1" applyBorder="1"/>
    <xf numFmtId="0" fontId="17" fillId="0" borderId="1" xfId="0" quotePrefix="1" applyFont="1" applyBorder="1"/>
    <xf numFmtId="164" fontId="0" fillId="0" borderId="0" xfId="1" applyNumberFormat="1" applyFont="1" applyFill="1"/>
    <xf numFmtId="164" fontId="0" fillId="0" borderId="1" xfId="1" applyNumberFormat="1" applyFont="1" applyFill="1" applyBorder="1"/>
    <xf numFmtId="0" fontId="20" fillId="0" borderId="21" xfId="0" applyFont="1" applyBorder="1"/>
    <xf numFmtId="14" fontId="23" fillId="0" borderId="24" xfId="0" applyNumberFormat="1" applyFont="1" applyBorder="1" applyAlignment="1" applyProtection="1">
      <alignment horizontal="center" vertical="center"/>
      <protection hidden="1"/>
    </xf>
    <xf numFmtId="14" fontId="23" fillId="0" borderId="28" xfId="0" applyNumberFormat="1" applyFont="1" applyBorder="1" applyAlignment="1" applyProtection="1">
      <alignment horizontal="center"/>
      <protection hidden="1"/>
    </xf>
    <xf numFmtId="14" fontId="23" fillId="0" borderId="30" xfId="0" applyNumberFormat="1" applyFont="1" applyBorder="1" applyAlignment="1" applyProtection="1">
      <alignment vertical="center"/>
      <protection hidden="1"/>
    </xf>
    <xf numFmtId="0" fontId="23" fillId="0" borderId="30" xfId="0" applyFont="1" applyBorder="1" applyAlignment="1" applyProtection="1">
      <alignment horizontal="center" vertical="center" wrapText="1"/>
      <protection hidden="1"/>
    </xf>
    <xf numFmtId="0" fontId="23" fillId="0" borderId="31" xfId="0" applyFont="1" applyBorder="1" applyAlignment="1" applyProtection="1">
      <alignment horizontal="center" vertical="center" wrapText="1"/>
      <protection hidden="1"/>
    </xf>
    <xf numFmtId="0" fontId="23" fillId="0" borderId="32" xfId="0" applyFont="1" applyBorder="1" applyAlignment="1" applyProtection="1">
      <alignment horizontal="center" vertical="center" wrapText="1"/>
      <protection hidden="1"/>
    </xf>
    <xf numFmtId="14" fontId="23" fillId="0" borderId="30" xfId="0" applyNumberFormat="1" applyFont="1" applyBorder="1" applyAlignment="1" applyProtection="1">
      <alignment horizontal="center" vertical="center"/>
      <protection hidden="1"/>
    </xf>
    <xf numFmtId="0" fontId="23" fillId="0" borderId="33" xfId="0" applyFont="1" applyBorder="1" applyAlignment="1" applyProtection="1">
      <alignment horizontal="center" vertical="center" wrapText="1"/>
      <protection hidden="1"/>
    </xf>
    <xf numFmtId="0" fontId="23" fillId="0" borderId="34" xfId="0" applyFont="1" applyBorder="1" applyAlignment="1" applyProtection="1">
      <alignment horizontal="center" vertical="center" wrapText="1"/>
      <protection hidden="1"/>
    </xf>
    <xf numFmtId="0" fontId="19" fillId="0" borderId="28" xfId="7" applyFont="1" applyFill="1" applyBorder="1" applyAlignment="1" applyProtection="1">
      <alignment horizontal="left" vertical="center" wrapText="1"/>
      <protection hidden="1"/>
    </xf>
    <xf numFmtId="0" fontId="19" fillId="0" borderId="36" xfId="7" applyFont="1" applyFill="1" applyBorder="1" applyAlignment="1" applyProtection="1">
      <alignment horizontal="left" vertical="center" wrapText="1"/>
      <protection hidden="1"/>
    </xf>
    <xf numFmtId="0" fontId="19" fillId="0" borderId="38" xfId="7" applyFont="1" applyFill="1" applyBorder="1" applyAlignment="1" applyProtection="1">
      <alignment horizontal="left" vertical="center" wrapText="1"/>
      <protection hidden="1"/>
    </xf>
    <xf numFmtId="0" fontId="22" fillId="0" borderId="2" xfId="0" applyFont="1" applyBorder="1" applyAlignment="1" applyProtection="1">
      <alignment horizontal="center"/>
      <protection hidden="1"/>
    </xf>
    <xf numFmtId="173" fontId="23" fillId="0" borderId="40" xfId="8" applyNumberFormat="1" applyFont="1" applyFill="1" applyBorder="1" applyProtection="1">
      <protection hidden="1"/>
    </xf>
    <xf numFmtId="0" fontId="0" fillId="0" borderId="42" xfId="0" applyBorder="1"/>
    <xf numFmtId="0" fontId="0" fillId="0" borderId="43" xfId="0" applyBorder="1"/>
    <xf numFmtId="0" fontId="17" fillId="0" borderId="44" xfId="0" applyFont="1" applyBorder="1"/>
    <xf numFmtId="0" fontId="0" fillId="0" borderId="25" xfId="0" applyBorder="1"/>
    <xf numFmtId="0" fontId="0" fillId="0" borderId="26" xfId="0" applyBorder="1"/>
    <xf numFmtId="0" fontId="2" fillId="0" borderId="45" xfId="0" applyFont="1" applyBorder="1"/>
    <xf numFmtId="173" fontId="0" fillId="0" borderId="9" xfId="8" applyNumberFormat="1" applyFont="1" applyFill="1" applyBorder="1"/>
    <xf numFmtId="173" fontId="0" fillId="0" borderId="37" xfId="8" applyNumberFormat="1" applyFont="1" applyFill="1" applyBorder="1"/>
    <xf numFmtId="0" fontId="2" fillId="0" borderId="46" xfId="0" applyFont="1" applyBorder="1"/>
    <xf numFmtId="173" fontId="0" fillId="0" borderId="11" xfId="8" applyNumberFormat="1" applyFont="1" applyFill="1" applyBorder="1"/>
    <xf numFmtId="0" fontId="22" fillId="0" borderId="44" xfId="0" applyFont="1" applyBorder="1" applyAlignment="1" applyProtection="1">
      <alignment horizontal="center"/>
      <protection hidden="1"/>
    </xf>
    <xf numFmtId="173" fontId="23" fillId="0" borderId="47" xfId="8" applyNumberFormat="1" applyFont="1" applyFill="1" applyBorder="1" applyProtection="1">
      <protection hidden="1"/>
    </xf>
    <xf numFmtId="173" fontId="23" fillId="0" borderId="41" xfId="8" applyNumberFormat="1" applyFont="1" applyFill="1" applyBorder="1" applyProtection="1">
      <protection hidden="1"/>
    </xf>
    <xf numFmtId="0" fontId="0" fillId="0" borderId="48" xfId="0" applyBorder="1"/>
    <xf numFmtId="0" fontId="98" fillId="0" borderId="76" xfId="33" applyNumberFormat="1" applyFont="1" applyFill="1" applyBorder="1" applyAlignment="1" applyProtection="1">
      <alignment horizontal="center" vertical="center"/>
      <protection locked="0"/>
    </xf>
    <xf numFmtId="0" fontId="100" fillId="0" borderId="76" xfId="0" applyFont="1" applyBorder="1" applyAlignment="1">
      <alignment horizontal="center" vertical="center"/>
    </xf>
    <xf numFmtId="15" fontId="100" fillId="0" borderId="76" xfId="0" applyNumberFormat="1" applyFont="1" applyBorder="1" applyAlignment="1">
      <alignment horizontal="center" vertical="center"/>
    </xf>
    <xf numFmtId="43" fontId="101" fillId="0" borderId="76" xfId="34" applyNumberFormat="1" applyFont="1" applyBorder="1" applyAlignment="1">
      <alignment vertical="center"/>
    </xf>
    <xf numFmtId="15" fontId="98" fillId="0" borderId="76" xfId="33" applyNumberFormat="1" applyFont="1" applyFill="1" applyBorder="1" applyAlignment="1" applyProtection="1">
      <alignment horizontal="center" vertical="center"/>
      <protection locked="0"/>
    </xf>
    <xf numFmtId="170" fontId="98" fillId="0" borderId="76" xfId="33" applyFont="1" applyFill="1" applyBorder="1" applyAlignment="1" applyProtection="1">
      <alignment horizontal="center" vertical="center"/>
      <protection locked="0"/>
    </xf>
    <xf numFmtId="164" fontId="10" fillId="0" borderId="16" xfId="1" applyNumberFormat="1" applyFont="1" applyFill="1" applyBorder="1" applyAlignment="1"/>
    <xf numFmtId="170" fontId="10" fillId="0" borderId="4" xfId="4" applyNumberFormat="1" applyFont="1" applyBorder="1" applyAlignment="1">
      <alignment horizontal="center" vertical="center" wrapText="1"/>
    </xf>
    <xf numFmtId="10" fontId="11" fillId="0" borderId="0" xfId="2" applyNumberFormat="1" applyFont="1" applyFill="1" applyBorder="1" applyAlignment="1">
      <alignment horizontal="center"/>
    </xf>
    <xf numFmtId="10" fontId="11" fillId="0" borderId="4" xfId="2" applyNumberFormat="1" applyFont="1" applyFill="1" applyBorder="1" applyAlignment="1">
      <alignment horizontal="center"/>
    </xf>
    <xf numFmtId="14" fontId="10" fillId="0" borderId="78" xfId="4" applyNumberFormat="1" applyFont="1" applyBorder="1" applyAlignment="1">
      <alignment horizontal="center"/>
    </xf>
    <xf numFmtId="164" fontId="10" fillId="0" borderId="12" xfId="1" applyNumberFormat="1" applyFont="1" applyFill="1" applyBorder="1" applyAlignment="1">
      <alignment horizontal="center" vertical="center"/>
    </xf>
    <xf numFmtId="164" fontId="11" fillId="0" borderId="13" xfId="1" applyNumberFormat="1" applyFont="1" applyFill="1" applyBorder="1" applyAlignment="1">
      <alignment horizontal="center"/>
    </xf>
    <xf numFmtId="0" fontId="11" fillId="0" borderId="10" xfId="0" applyFont="1" applyBorder="1"/>
    <xf numFmtId="9" fontId="11" fillId="0" borderId="0" xfId="3" applyFont="1" applyFill="1" applyBorder="1" applyAlignment="1">
      <alignment horizontal="left" vertical="top" wrapText="1"/>
    </xf>
    <xf numFmtId="164" fontId="11" fillId="0" borderId="13" xfId="1" applyNumberFormat="1" applyFont="1" applyFill="1" applyBorder="1" applyAlignment="1">
      <alignment horizontal="left" vertical="top" wrapText="1"/>
    </xf>
    <xf numFmtId="0" fontId="10" fillId="0" borderId="13" xfId="0" applyFont="1" applyBorder="1" applyAlignment="1">
      <alignment horizontal="center" vertical="center" wrapText="1"/>
    </xf>
    <xf numFmtId="43" fontId="80" fillId="0" borderId="0" xfId="1" applyFont="1"/>
    <xf numFmtId="0" fontId="0" fillId="0" borderId="76" xfId="0" applyBorder="1"/>
    <xf numFmtId="43" fontId="0" fillId="0" borderId="76" xfId="1" applyFont="1" applyBorder="1"/>
    <xf numFmtId="180" fontId="0" fillId="0" borderId="76" xfId="1" applyNumberFormat="1" applyFont="1" applyBorder="1"/>
    <xf numFmtId="43" fontId="0" fillId="0" borderId="76" xfId="0" applyNumberFormat="1" applyBorder="1"/>
    <xf numFmtId="2" fontId="0" fillId="0" borderId="0" xfId="0" applyNumberFormat="1"/>
    <xf numFmtId="0" fontId="64" fillId="0" borderId="76" xfId="0" applyFont="1" applyBorder="1"/>
    <xf numFmtId="0" fontId="65" fillId="0" borderId="76" xfId="0" applyFont="1" applyBorder="1"/>
    <xf numFmtId="0" fontId="108" fillId="0" borderId="76" xfId="0" applyFont="1" applyBorder="1"/>
    <xf numFmtId="9" fontId="11" fillId="0" borderId="76" xfId="2" applyFont="1" applyFill="1" applyBorder="1" applyAlignment="1"/>
    <xf numFmtId="0" fontId="104" fillId="0" borderId="76" xfId="0" applyFont="1" applyBorder="1"/>
    <xf numFmtId="9" fontId="109" fillId="0" borderId="76" xfId="2" applyFont="1" applyFill="1" applyBorder="1" applyAlignment="1"/>
    <xf numFmtId="0" fontId="2" fillId="0" borderId="0" xfId="0" applyFont="1" applyAlignment="1">
      <alignment horizontal="center"/>
    </xf>
    <xf numFmtId="0" fontId="0" fillId="0" borderId="0" xfId="0" applyAlignment="1">
      <alignment horizontal="center"/>
    </xf>
    <xf numFmtId="0" fontId="0" fillId="0" borderId="79" xfId="0" applyBorder="1"/>
    <xf numFmtId="43" fontId="0" fillId="0" borderId="14" xfId="1" applyFont="1" applyFill="1" applyBorder="1"/>
    <xf numFmtId="43" fontId="2" fillId="0" borderId="76" xfId="1" applyFont="1" applyFill="1" applyBorder="1"/>
    <xf numFmtId="43" fontId="2" fillId="0" borderId="14" xfId="1" applyFont="1" applyFill="1" applyBorder="1" applyAlignment="1">
      <alignment horizontal="center"/>
    </xf>
    <xf numFmtId="43" fontId="2" fillId="0" borderId="14" xfId="1" applyFont="1" applyFill="1" applyBorder="1"/>
    <xf numFmtId="43" fontId="0" fillId="0" borderId="14" xfId="1" applyFont="1" applyFill="1" applyBorder="1" applyAlignment="1">
      <alignment wrapText="1"/>
    </xf>
    <xf numFmtId="43" fontId="0" fillId="0" borderId="13" xfId="1" applyFont="1" applyFill="1" applyBorder="1"/>
    <xf numFmtId="9" fontId="22" fillId="0" borderId="0" xfId="3" applyFont="1" applyFill="1" applyBorder="1" applyAlignment="1"/>
    <xf numFmtId="167" fontId="110" fillId="0" borderId="0" xfId="3" applyNumberFormat="1" applyFont="1" applyFill="1" applyBorder="1" applyAlignment="1">
      <alignment horizontal="center" vertical="center"/>
    </xf>
    <xf numFmtId="164" fontId="22" fillId="0" borderId="13" xfId="1" quotePrefix="1" applyNumberFormat="1" applyFont="1" applyFill="1" applyBorder="1" applyAlignment="1">
      <alignment horizontal="center"/>
    </xf>
    <xf numFmtId="164" fontId="22" fillId="0" borderId="35" xfId="1" quotePrefix="1" applyNumberFormat="1" applyFont="1" applyFill="1" applyBorder="1" applyAlignment="1">
      <alignment horizontal="center"/>
    </xf>
    <xf numFmtId="0" fontId="22" fillId="0" borderId="42" xfId="0" applyFont="1" applyBorder="1" applyAlignment="1">
      <alignment vertical="top" wrapText="1"/>
    </xf>
    <xf numFmtId="43" fontId="81" fillId="0" borderId="14" xfId="1" applyFont="1" applyFill="1" applyBorder="1" applyAlignment="1">
      <alignment vertical="center" wrapText="1"/>
    </xf>
    <xf numFmtId="43" fontId="22" fillId="0" borderId="66" xfId="1" applyFont="1" applyFill="1" applyBorder="1" applyAlignment="1">
      <alignment horizontal="right" wrapText="1"/>
    </xf>
    <xf numFmtId="0" fontId="22" fillId="0" borderId="42" xfId="0" applyFont="1" applyBorder="1" applyAlignment="1">
      <alignment horizontal="left" vertical="top" wrapText="1"/>
    </xf>
    <xf numFmtId="0" fontId="81" fillId="0" borderId="42" xfId="0" applyFont="1" applyBorder="1" applyAlignment="1">
      <alignment vertical="top"/>
    </xf>
    <xf numFmtId="43" fontId="81" fillId="0" borderId="14" xfId="1" applyFont="1" applyFill="1" applyBorder="1" applyAlignment="1">
      <alignment horizontal="center" vertical="center"/>
    </xf>
    <xf numFmtId="43" fontId="81" fillId="0" borderId="66" xfId="1" applyFont="1" applyFill="1" applyBorder="1" applyAlignment="1">
      <alignment horizontal="center" vertical="center"/>
    </xf>
    <xf numFmtId="0" fontId="81" fillId="0" borderId="42" xfId="0" applyFont="1" applyBorder="1" applyAlignment="1">
      <alignment vertical="top" wrapText="1"/>
    </xf>
    <xf numFmtId="0" fontId="81" fillId="0" borderId="42" xfId="0" applyFont="1" applyBorder="1" applyAlignment="1">
      <alignment vertical="center" wrapText="1"/>
    </xf>
    <xf numFmtId="0" fontId="81" fillId="0" borderId="42" xfId="0" applyFont="1" applyBorder="1" applyAlignment="1">
      <alignment horizontal="left" vertical="top" wrapText="1"/>
    </xf>
    <xf numFmtId="0" fontId="22" fillId="0" borderId="82" xfId="0" applyFont="1" applyBorder="1" applyAlignment="1">
      <alignment horizontal="left" vertical="top" wrapText="1"/>
    </xf>
    <xf numFmtId="43" fontId="22" fillId="0" borderId="37" xfId="1" applyFont="1" applyFill="1" applyBorder="1" applyAlignment="1">
      <alignment horizontal="center" vertical="center"/>
    </xf>
    <xf numFmtId="43" fontId="22" fillId="0" borderId="14" xfId="1" applyFont="1" applyFill="1" applyBorder="1" applyAlignment="1">
      <alignment horizontal="center" vertical="center"/>
    </xf>
    <xf numFmtId="43" fontId="22" fillId="0" borderId="66" xfId="1" applyFont="1" applyFill="1" applyBorder="1" applyAlignment="1">
      <alignment horizontal="center" vertical="center"/>
    </xf>
    <xf numFmtId="0" fontId="81" fillId="0" borderId="42" xfId="0" applyFont="1" applyBorder="1" applyAlignment="1">
      <alignment horizontal="left" vertical="top"/>
    </xf>
    <xf numFmtId="0" fontId="22" fillId="0" borderId="60" xfId="0" applyFont="1" applyBorder="1" applyAlignment="1">
      <alignment horizontal="left" vertical="top" wrapText="1"/>
    </xf>
    <xf numFmtId="0" fontId="22" fillId="0" borderId="84" xfId="0" applyFont="1" applyBorder="1" applyAlignment="1">
      <alignment vertical="center" wrapText="1"/>
    </xf>
    <xf numFmtId="43" fontId="22" fillId="0" borderId="10" xfId="1" applyFont="1" applyFill="1" applyBorder="1" applyAlignment="1">
      <alignment horizontal="center" vertical="center"/>
    </xf>
    <xf numFmtId="43" fontId="1" fillId="0" borderId="66" xfId="1" applyFont="1" applyFill="1" applyBorder="1" applyAlignment="1">
      <alignment horizontal="center" vertical="center"/>
    </xf>
    <xf numFmtId="0" fontId="22" fillId="0" borderId="85" xfId="0" applyFont="1" applyBorder="1" applyAlignment="1">
      <alignment vertical="center"/>
    </xf>
    <xf numFmtId="43" fontId="81" fillId="0" borderId="10" xfId="1" applyFont="1" applyFill="1" applyBorder="1" applyAlignment="1">
      <alignment horizontal="center" vertical="center"/>
    </xf>
    <xf numFmtId="0" fontId="22" fillId="0" borderId="42" xfId="0" applyFont="1" applyBorder="1" applyAlignment="1">
      <alignment vertical="center" wrapText="1"/>
    </xf>
    <xf numFmtId="0" fontId="22" fillId="0" borderId="60" xfId="0" applyFont="1" applyBorder="1" applyAlignment="1">
      <alignment vertical="center" wrapText="1"/>
    </xf>
    <xf numFmtId="0" fontId="22" fillId="0" borderId="60" xfId="0" applyFont="1" applyBorder="1" applyAlignment="1">
      <alignment vertical="center"/>
    </xf>
    <xf numFmtId="0" fontId="1" fillId="0" borderId="0" xfId="0" applyFont="1"/>
    <xf numFmtId="43" fontId="20" fillId="0" borderId="14" xfId="1" applyFont="1" applyFill="1" applyBorder="1"/>
    <xf numFmtId="189" fontId="20" fillId="0" borderId="14" xfId="1" applyNumberFormat="1" applyFont="1" applyFill="1" applyBorder="1"/>
    <xf numFmtId="167" fontId="11" fillId="0" borderId="0" xfId="3" applyNumberFormat="1" applyFont="1" applyFill="1" applyBorder="1" applyAlignment="1"/>
    <xf numFmtId="43" fontId="0" fillId="0" borderId="0" xfId="1" applyFont="1" applyBorder="1"/>
    <xf numFmtId="14" fontId="2" fillId="0" borderId="0" xfId="0" applyNumberFormat="1" applyFont="1" applyAlignment="1">
      <alignment horizontal="center"/>
    </xf>
    <xf numFmtId="189" fontId="23" fillId="0" borderId="14" xfId="1" applyNumberFormat="1" applyFont="1" applyFill="1" applyBorder="1"/>
    <xf numFmtId="49" fontId="8" fillId="0" borderId="77" xfId="0" applyNumberFormat="1" applyFont="1" applyBorder="1" applyAlignment="1">
      <alignment horizontal="left" vertical="top" indent="3"/>
    </xf>
    <xf numFmtId="49" fontId="8" fillId="0" borderId="7" xfId="0" applyNumberFormat="1" applyFont="1" applyBorder="1" applyAlignment="1">
      <alignment horizontal="left" vertical="top" indent="3"/>
    </xf>
    <xf numFmtId="49" fontId="8" fillId="0" borderId="12" xfId="0" applyNumberFormat="1" applyFont="1" applyBorder="1" applyAlignment="1">
      <alignment horizontal="left" vertical="top" indent="3"/>
    </xf>
    <xf numFmtId="49" fontId="4" fillId="0" borderId="1" xfId="0" applyNumberFormat="1" applyFont="1" applyBorder="1" applyAlignment="1">
      <alignment horizontal="center" vertical="top"/>
    </xf>
    <xf numFmtId="49" fontId="8" fillId="0" borderId="8" xfId="0" applyNumberFormat="1" applyFont="1" applyBorder="1" applyAlignment="1">
      <alignment horizontal="left" vertical="top" indent="3"/>
    </xf>
    <xf numFmtId="165" fontId="8" fillId="0" borderId="8" xfId="0" applyNumberFormat="1" applyFont="1" applyBorder="1" applyAlignment="1">
      <alignment horizontal="right" vertical="top"/>
    </xf>
    <xf numFmtId="0" fontId="0" fillId="5" borderId="0" xfId="0" applyFill="1"/>
    <xf numFmtId="0" fontId="113" fillId="0" borderId="0" xfId="0" applyFont="1"/>
    <xf numFmtId="164" fontId="113" fillId="0" borderId="0" xfId="0" applyNumberFormat="1" applyFont="1"/>
    <xf numFmtId="170" fontId="0" fillId="0" borderId="1" xfId="8" applyFont="1" applyFill="1" applyBorder="1"/>
    <xf numFmtId="170" fontId="0" fillId="0" borderId="13" xfId="8" applyFont="1" applyFill="1" applyBorder="1" applyProtection="1">
      <protection hidden="1"/>
    </xf>
    <xf numFmtId="164" fontId="0" fillId="0" borderId="13" xfId="1" applyNumberFormat="1" applyFont="1" applyBorder="1"/>
    <xf numFmtId="167" fontId="110" fillId="0" borderId="0" xfId="3" applyNumberFormat="1" applyFont="1" applyFill="1" applyBorder="1" applyAlignment="1">
      <alignment horizontal="center"/>
    </xf>
    <xf numFmtId="43" fontId="58" fillId="0" borderId="14" xfId="1" applyFont="1" applyFill="1" applyBorder="1"/>
    <xf numFmtId="164" fontId="62" fillId="0" borderId="14" xfId="17" applyNumberFormat="1" applyFont="1" applyFill="1" applyBorder="1"/>
    <xf numFmtId="15" fontId="2" fillId="0" borderId="1" xfId="0" applyNumberFormat="1" applyFont="1" applyBorder="1" applyAlignment="1">
      <alignment horizontal="center" vertical="center"/>
    </xf>
    <xf numFmtId="43" fontId="2" fillId="0" borderId="1" xfId="1" applyFont="1" applyFill="1" applyBorder="1" applyAlignment="1">
      <alignment horizontal="center"/>
    </xf>
    <xf numFmtId="0" fontId="23" fillId="0" borderId="43" xfId="0" applyFont="1" applyBorder="1" applyAlignment="1">
      <alignment horizontal="right"/>
    </xf>
    <xf numFmtId="0" fontId="2" fillId="0" borderId="37" xfId="0" applyFont="1" applyBorder="1" applyAlignment="1">
      <alignment horizontal="center"/>
    </xf>
    <xf numFmtId="15" fontId="2" fillId="0" borderId="37" xfId="0" applyNumberFormat="1" applyFont="1" applyBorder="1" applyAlignment="1">
      <alignment horizontal="center" vertical="center"/>
    </xf>
    <xf numFmtId="0" fontId="2" fillId="0" borderId="85" xfId="0" applyFont="1" applyBorder="1" applyAlignment="1">
      <alignment horizontal="left"/>
    </xf>
    <xf numFmtId="0" fontId="0" fillId="0" borderId="83" xfId="0" applyBorder="1"/>
    <xf numFmtId="43" fontId="0" fillId="0" borderId="85" xfId="1" applyFont="1" applyFill="1" applyBorder="1" applyAlignment="1">
      <alignment horizontal="left"/>
    </xf>
    <xf numFmtId="43" fontId="0" fillId="0" borderId="66" xfId="1" applyFont="1" applyFill="1" applyBorder="1"/>
    <xf numFmtId="43" fontId="2" fillId="0" borderId="60" xfId="1" applyFont="1" applyFill="1" applyBorder="1" applyAlignment="1">
      <alignment horizontal="left"/>
    </xf>
    <xf numFmtId="43" fontId="2" fillId="0" borderId="37" xfId="1" applyFont="1" applyFill="1" applyBorder="1"/>
    <xf numFmtId="43" fontId="2" fillId="0" borderId="85" xfId="1" applyFont="1" applyFill="1" applyBorder="1" applyAlignment="1">
      <alignment horizontal="left" vertical="center"/>
    </xf>
    <xf numFmtId="43" fontId="2" fillId="0" borderId="60" xfId="1" applyFont="1" applyFill="1" applyBorder="1" applyAlignment="1">
      <alignment horizontal="left" vertical="center" wrapText="1"/>
    </xf>
    <xf numFmtId="43" fontId="2" fillId="0" borderId="85" xfId="1" applyFont="1" applyFill="1" applyBorder="1" applyAlignment="1">
      <alignment horizontal="left"/>
    </xf>
    <xf numFmtId="43" fontId="2" fillId="0" borderId="66" xfId="1" applyFont="1" applyFill="1" applyBorder="1" applyAlignment="1">
      <alignment horizontal="center"/>
    </xf>
    <xf numFmtId="0" fontId="2" fillId="0" borderId="60" xfId="0" applyFont="1" applyBorder="1"/>
    <xf numFmtId="43" fontId="2" fillId="0" borderId="37" xfId="1" applyFont="1" applyFill="1" applyBorder="1" applyAlignment="1">
      <alignment horizontal="center"/>
    </xf>
    <xf numFmtId="43" fontId="2" fillId="0" borderId="85" xfId="1" applyFont="1" applyFill="1" applyBorder="1" applyAlignment="1">
      <alignment horizontal="left" vertical="top"/>
    </xf>
    <xf numFmtId="43" fontId="2" fillId="0" borderId="66" xfId="1" applyFont="1" applyFill="1" applyBorder="1"/>
    <xf numFmtId="43" fontId="0" fillId="0" borderId="35" xfId="1" applyFont="1" applyFill="1" applyBorder="1"/>
    <xf numFmtId="0" fontId="2" fillId="0" borderId="60" xfId="0" applyFont="1" applyBorder="1" applyAlignment="1">
      <alignment horizontal="left"/>
    </xf>
    <xf numFmtId="0" fontId="0" fillId="0" borderId="85" xfId="0" applyBorder="1" applyAlignment="1">
      <alignment horizontal="left"/>
    </xf>
    <xf numFmtId="43" fontId="0" fillId="0" borderId="66" xfId="1" applyFont="1" applyFill="1" applyBorder="1" applyAlignment="1">
      <alignment wrapText="1"/>
    </xf>
    <xf numFmtId="0" fontId="0" fillId="0" borderId="85" xfId="0" applyBorder="1" applyAlignment="1">
      <alignment horizontal="left" wrapText="1"/>
    </xf>
    <xf numFmtId="0" fontId="0" fillId="0" borderId="56" xfId="0" applyBorder="1" applyAlignment="1">
      <alignment horizontal="left"/>
    </xf>
    <xf numFmtId="43" fontId="0" fillId="0" borderId="88" xfId="1" applyFont="1" applyFill="1" applyBorder="1"/>
    <xf numFmtId="43" fontId="0" fillId="0" borderId="89" xfId="1" applyFont="1" applyFill="1" applyBorder="1"/>
    <xf numFmtId="167" fontId="110" fillId="0" borderId="42" xfId="3" applyNumberFormat="1" applyFont="1" applyFill="1" applyBorder="1" applyAlignment="1">
      <alignment horizontal="center" vertical="center"/>
    </xf>
    <xf numFmtId="167" fontId="110" fillId="0" borderId="43" xfId="3" applyNumberFormat="1" applyFont="1" applyFill="1" applyBorder="1" applyAlignment="1">
      <alignment horizontal="center" vertical="center"/>
    </xf>
    <xf numFmtId="43" fontId="58" fillId="0" borderId="66" xfId="1" applyFont="1" applyFill="1" applyBorder="1" applyAlignment="1">
      <alignment horizontal="right" vertical="center"/>
    </xf>
    <xf numFmtId="43" fontId="22" fillId="0" borderId="1" xfId="1" applyFont="1" applyFill="1" applyBorder="1" applyAlignment="1">
      <alignment horizontal="center" vertical="center"/>
    </xf>
    <xf numFmtId="172" fontId="22" fillId="0" borderId="79" xfId="1" applyNumberFormat="1" applyFont="1" applyFill="1" applyBorder="1" applyAlignment="1">
      <alignment horizontal="center" vertical="center" wrapText="1"/>
    </xf>
    <xf numFmtId="172" fontId="22" fillId="0" borderId="83" xfId="1" applyNumberFormat="1" applyFont="1" applyFill="1" applyBorder="1" applyAlignment="1">
      <alignment horizontal="center" vertical="center" wrapText="1"/>
    </xf>
    <xf numFmtId="0" fontId="22" fillId="0" borderId="91" xfId="0" applyFont="1" applyBorder="1" applyAlignment="1">
      <alignment vertical="center"/>
    </xf>
    <xf numFmtId="0" fontId="22" fillId="0" borderId="85" xfId="0" applyFont="1" applyBorder="1" applyAlignment="1">
      <alignment vertical="center" wrapText="1"/>
    </xf>
    <xf numFmtId="43" fontId="22" fillId="0" borderId="73" xfId="1" applyFont="1" applyFill="1" applyBorder="1" applyAlignment="1">
      <alignment horizontal="center" vertical="center"/>
    </xf>
    <xf numFmtId="43" fontId="22" fillId="0" borderId="92" xfId="1" applyFont="1" applyFill="1" applyBorder="1" applyAlignment="1">
      <alignment horizontal="center" vertical="center"/>
    </xf>
    <xf numFmtId="43" fontId="22" fillId="0" borderId="57" xfId="1" applyFont="1" applyFill="1" applyBorder="1" applyAlignment="1">
      <alignment horizontal="center" vertical="center"/>
    </xf>
    <xf numFmtId="43" fontId="22" fillId="0" borderId="34" xfId="1" applyFont="1" applyFill="1" applyBorder="1" applyAlignment="1">
      <alignment horizontal="center" vertical="center"/>
    </xf>
    <xf numFmtId="0" fontId="23" fillId="0" borderId="60" xfId="0" applyFont="1" applyBorder="1"/>
    <xf numFmtId="172" fontId="22" fillId="0" borderId="1" xfId="1" applyNumberFormat="1" applyFont="1" applyFill="1" applyBorder="1" applyAlignment="1">
      <alignment horizontal="center" vertical="center" wrapText="1"/>
    </xf>
    <xf numFmtId="172" fontId="22" fillId="0" borderId="37" xfId="1" applyNumberFormat="1" applyFont="1" applyFill="1" applyBorder="1" applyAlignment="1">
      <alignment horizontal="center" vertical="center" wrapText="1"/>
    </xf>
    <xf numFmtId="0" fontId="23" fillId="0" borderId="85" xfId="0" applyFont="1" applyBorder="1"/>
    <xf numFmtId="164" fontId="22" fillId="0" borderId="1" xfId="1" applyNumberFormat="1" applyFont="1" applyFill="1" applyBorder="1" applyAlignment="1">
      <alignment horizontal="center"/>
    </xf>
    <xf numFmtId="164" fontId="22" fillId="0" borderId="37" xfId="1" applyNumberFormat="1" applyFont="1" applyFill="1" applyBorder="1" applyAlignment="1">
      <alignment horizontal="center"/>
    </xf>
    <xf numFmtId="43" fontId="23" fillId="0" borderId="1" xfId="1" applyFont="1" applyFill="1" applyBorder="1"/>
    <xf numFmtId="43" fontId="23" fillId="0" borderId="37" xfId="1" applyFont="1" applyFill="1" applyBorder="1"/>
    <xf numFmtId="0" fontId="20" fillId="0" borderId="85" xfId="0" applyFont="1" applyBorder="1"/>
    <xf numFmtId="43" fontId="20" fillId="0" borderId="66" xfId="1" applyFont="1" applyFill="1" applyBorder="1"/>
    <xf numFmtId="189" fontId="20" fillId="0" borderId="66" xfId="1" applyNumberFormat="1" applyFont="1" applyFill="1" applyBorder="1"/>
    <xf numFmtId="189" fontId="23" fillId="0" borderId="1" xfId="1" applyNumberFormat="1" applyFont="1" applyFill="1" applyBorder="1"/>
    <xf numFmtId="189" fontId="23" fillId="0" borderId="37" xfId="1" applyNumberFormat="1" applyFont="1" applyFill="1" applyBorder="1"/>
    <xf numFmtId="0" fontId="23" fillId="0" borderId="60" xfId="0" applyFont="1" applyBorder="1" applyAlignment="1">
      <alignment wrapText="1"/>
    </xf>
    <xf numFmtId="0" fontId="23" fillId="0" borderId="85" xfId="0" applyFont="1" applyBorder="1" applyAlignment="1">
      <alignment horizontal="left" wrapText="1"/>
    </xf>
    <xf numFmtId="189" fontId="23" fillId="0" borderId="66" xfId="1" applyNumberFormat="1" applyFont="1" applyFill="1" applyBorder="1"/>
    <xf numFmtId="0" fontId="23" fillId="0" borderId="33" xfId="0" applyFont="1" applyBorder="1"/>
    <xf numFmtId="189" fontId="23" fillId="0" borderId="30" xfId="1" applyNumberFormat="1" applyFont="1" applyFill="1" applyBorder="1"/>
    <xf numFmtId="189" fontId="23" fillId="0" borderId="34" xfId="1" applyNumberFormat="1" applyFont="1" applyFill="1" applyBorder="1"/>
    <xf numFmtId="0" fontId="23" fillId="0" borderId="37" xfId="0" applyFont="1" applyBorder="1" applyAlignment="1">
      <alignment horizontal="right"/>
    </xf>
    <xf numFmtId="0" fontId="20" fillId="0" borderId="66" xfId="0" applyFont="1" applyBorder="1"/>
    <xf numFmtId="164" fontId="23" fillId="0" borderId="37" xfId="1" applyNumberFormat="1" applyFont="1" applyFill="1" applyBorder="1"/>
    <xf numFmtId="164" fontId="20" fillId="0" borderId="66" xfId="8" applyNumberFormat="1" applyFont="1" applyFill="1" applyBorder="1"/>
    <xf numFmtId="164" fontId="20" fillId="0" borderId="66" xfId="1" applyNumberFormat="1" applyFont="1" applyFill="1" applyBorder="1"/>
    <xf numFmtId="164" fontId="23" fillId="0" borderId="37" xfId="8" applyNumberFormat="1" applyFont="1" applyFill="1" applyBorder="1"/>
    <xf numFmtId="164" fontId="23" fillId="0" borderId="66" xfId="8" applyNumberFormat="1" applyFont="1" applyFill="1" applyBorder="1"/>
    <xf numFmtId="164" fontId="23" fillId="0" borderId="37" xfId="0" applyNumberFormat="1" applyFont="1" applyBorder="1"/>
    <xf numFmtId="0" fontId="20" fillId="0" borderId="42" xfId="0" applyFont="1" applyBorder="1"/>
    <xf numFmtId="0" fontId="20" fillId="0" borderId="43" xfId="0" applyFont="1" applyBorder="1"/>
    <xf numFmtId="0" fontId="20" fillId="0" borderId="42" xfId="0" applyFont="1" applyBorder="1" applyAlignment="1">
      <alignment horizontal="left" wrapText="1"/>
    </xf>
    <xf numFmtId="0" fontId="20" fillId="0" borderId="0" xfId="0" applyFont="1" applyAlignment="1">
      <alignment horizontal="left" wrapText="1"/>
    </xf>
    <xf numFmtId="0" fontId="20" fillId="0" borderId="43" xfId="0" applyFont="1" applyBorder="1" applyAlignment="1">
      <alignment horizontal="left" wrapText="1"/>
    </xf>
    <xf numFmtId="0" fontId="11" fillId="0" borderId="42" xfId="4" applyNumberFormat="1" applyFont="1" applyBorder="1"/>
    <xf numFmtId="0" fontId="11" fillId="0" borderId="0" xfId="4" applyNumberFormat="1" applyFont="1"/>
    <xf numFmtId="1" fontId="11" fillId="0" borderId="43" xfId="4" applyNumberFormat="1" applyFont="1" applyBorder="1" applyAlignment="1">
      <alignment horizontal="right"/>
    </xf>
    <xf numFmtId="168" fontId="10" fillId="0" borderId="42" xfId="4" applyNumberFormat="1" applyFont="1" applyBorder="1"/>
    <xf numFmtId="168" fontId="10" fillId="0" borderId="0" xfId="4" applyNumberFormat="1" applyFont="1"/>
    <xf numFmtId="1" fontId="10" fillId="0" borderId="43" xfId="4" applyNumberFormat="1" applyFont="1" applyBorder="1" applyAlignment="1">
      <alignment horizontal="right"/>
    </xf>
    <xf numFmtId="168" fontId="11" fillId="0" borderId="43" xfId="4" applyNumberFormat="1" applyFont="1" applyBorder="1" applyAlignment="1">
      <alignment horizontal="right"/>
    </xf>
    <xf numFmtId="168" fontId="11" fillId="0" borderId="42" xfId="4" applyNumberFormat="1" applyFont="1" applyBorder="1"/>
    <xf numFmtId="168" fontId="11" fillId="0" borderId="42" xfId="4" applyNumberFormat="1" applyFont="1" applyBorder="1" applyAlignment="1">
      <alignment vertical="center"/>
    </xf>
    <xf numFmtId="168" fontId="10" fillId="0" borderId="43" xfId="4" applyNumberFormat="1" applyFont="1" applyBorder="1" applyAlignment="1">
      <alignment horizontal="right"/>
    </xf>
    <xf numFmtId="9" fontId="11" fillId="0" borderId="91" xfId="3" applyFont="1" applyFill="1" applyBorder="1" applyAlignment="1"/>
    <xf numFmtId="9" fontId="11" fillId="0" borderId="81" xfId="3" applyFont="1" applyFill="1" applyBorder="1" applyAlignment="1"/>
    <xf numFmtId="1" fontId="11" fillId="0" borderId="95" xfId="4" applyNumberFormat="1" applyFont="1" applyBorder="1" applyAlignment="1">
      <alignment horizontal="right"/>
    </xf>
    <xf numFmtId="0" fontId="10" fillId="0" borderId="96" xfId="0" applyFont="1" applyBorder="1" applyAlignment="1">
      <alignment vertical="center" wrapText="1"/>
    </xf>
    <xf numFmtId="168" fontId="11" fillId="0" borderId="77" xfId="4" applyNumberFormat="1" applyFont="1" applyBorder="1"/>
    <xf numFmtId="164" fontId="10" fillId="0" borderId="79" xfId="1" applyNumberFormat="1" applyFont="1" applyFill="1" applyBorder="1" applyAlignment="1">
      <alignment horizontal="center" vertical="center" wrapText="1"/>
    </xf>
    <xf numFmtId="164" fontId="10" fillId="0" borderId="83" xfId="1" applyNumberFormat="1" applyFont="1" applyFill="1" applyBorder="1" applyAlignment="1">
      <alignment horizontal="center" vertical="center" wrapText="1"/>
    </xf>
    <xf numFmtId="0" fontId="11" fillId="0" borderId="93" xfId="0" applyFont="1" applyBorder="1" applyAlignment="1">
      <alignment vertical="center" wrapText="1"/>
    </xf>
    <xf numFmtId="164" fontId="10" fillId="0" borderId="35" xfId="1" applyNumberFormat="1" applyFont="1" applyFill="1" applyBorder="1" applyAlignment="1">
      <alignment horizontal="center"/>
    </xf>
    <xf numFmtId="0" fontId="10" fillId="0" borderId="42" xfId="0" applyFont="1" applyBorder="1" applyAlignment="1">
      <alignment vertical="top" wrapText="1"/>
    </xf>
    <xf numFmtId="164" fontId="11" fillId="0" borderId="66" xfId="1" applyNumberFormat="1" applyFont="1" applyFill="1" applyBorder="1" applyAlignment="1">
      <alignment vertical="center" wrapText="1"/>
    </xf>
    <xf numFmtId="0" fontId="11" fillId="0" borderId="42" xfId="0" applyFont="1" applyBorder="1" applyAlignment="1">
      <alignment vertical="top"/>
    </xf>
    <xf numFmtId="164" fontId="11" fillId="0" borderId="66" xfId="1" applyNumberFormat="1" applyFont="1" applyFill="1" applyBorder="1" applyAlignment="1">
      <alignment horizontal="center"/>
    </xf>
    <xf numFmtId="0" fontId="11" fillId="0" borderId="42" xfId="0" applyFont="1" applyBorder="1" applyAlignment="1">
      <alignment vertical="top" wrapText="1"/>
    </xf>
    <xf numFmtId="164" fontId="10" fillId="0" borderId="66" xfId="1" applyNumberFormat="1" applyFont="1" applyFill="1" applyBorder="1" applyAlignment="1">
      <alignment horizontal="center"/>
    </xf>
    <xf numFmtId="0" fontId="11" fillId="0" borderId="42" xfId="0" applyFont="1" applyBorder="1" applyAlignment="1">
      <alignment vertical="center" wrapText="1"/>
    </xf>
    <xf numFmtId="164" fontId="11" fillId="0" borderId="66" xfId="1" applyNumberFormat="1" applyFont="1" applyFill="1" applyBorder="1" applyAlignment="1">
      <alignment horizontal="right"/>
    </xf>
    <xf numFmtId="0" fontId="11" fillId="0" borderId="42" xfId="0" applyFont="1" applyBorder="1" applyAlignment="1">
      <alignment horizontal="left" vertical="top" wrapText="1"/>
    </xf>
    <xf numFmtId="0" fontId="10" fillId="0" borderId="42" xfId="0" applyFont="1" applyBorder="1" applyAlignment="1">
      <alignment horizontal="left" vertical="top" wrapText="1"/>
    </xf>
    <xf numFmtId="164" fontId="10" fillId="0" borderId="66" xfId="1" applyNumberFormat="1" applyFont="1" applyFill="1" applyBorder="1" applyAlignment="1">
      <alignment horizontal="right"/>
    </xf>
    <xf numFmtId="0" fontId="11" fillId="0" borderId="42" xfId="0" applyFont="1" applyBorder="1" applyAlignment="1">
      <alignment horizontal="left" vertical="top"/>
    </xf>
    <xf numFmtId="164" fontId="10" fillId="0" borderId="43" xfId="1" applyNumberFormat="1" applyFont="1" applyFill="1" applyBorder="1" applyAlignment="1">
      <alignment horizontal="center"/>
    </xf>
    <xf numFmtId="0" fontId="10" fillId="0" borderId="42" xfId="0" applyFont="1" applyBorder="1" applyAlignment="1">
      <alignment vertical="center" wrapText="1"/>
    </xf>
    <xf numFmtId="164" fontId="10" fillId="0" borderId="97" xfId="1" applyNumberFormat="1" applyFont="1" applyFill="1" applyBorder="1" applyAlignment="1">
      <alignment vertical="center"/>
    </xf>
    <xf numFmtId="0" fontId="10" fillId="0" borderId="42" xfId="0" applyFont="1" applyBorder="1" applyAlignment="1">
      <alignment vertical="center"/>
    </xf>
    <xf numFmtId="164" fontId="10" fillId="0" borderId="42" xfId="0" applyNumberFormat="1" applyFont="1" applyBorder="1" applyAlignment="1">
      <alignment vertical="center"/>
    </xf>
    <xf numFmtId="164" fontId="10" fillId="0" borderId="86" xfId="1" applyNumberFormat="1" applyFont="1" applyFill="1" applyBorder="1" applyAlignment="1">
      <alignment vertical="center"/>
    </xf>
    <xf numFmtId="164" fontId="10" fillId="0" borderId="98" xfId="1" applyNumberFormat="1" applyFont="1" applyFill="1" applyBorder="1" applyAlignment="1">
      <alignment vertical="center"/>
    </xf>
    <xf numFmtId="164" fontId="10" fillId="0" borderId="99" xfId="1" applyNumberFormat="1" applyFont="1" applyFill="1" applyBorder="1" applyAlignment="1">
      <alignment vertical="center"/>
    </xf>
    <xf numFmtId="0" fontId="10" fillId="0" borderId="93" xfId="0" applyFont="1" applyBorder="1" applyAlignment="1">
      <alignment vertical="center"/>
    </xf>
    <xf numFmtId="164" fontId="11" fillId="0" borderId="35" xfId="1" applyNumberFormat="1" applyFont="1" applyFill="1" applyBorder="1" applyAlignment="1">
      <alignment horizontal="center" vertical="center" wrapText="1"/>
    </xf>
    <xf numFmtId="164" fontId="11" fillId="0" borderId="43" xfId="1" applyNumberFormat="1" applyFont="1" applyFill="1" applyBorder="1" applyAlignment="1">
      <alignment horizontal="center" vertical="center" wrapText="1"/>
    </xf>
    <xf numFmtId="164" fontId="11" fillId="0" borderId="43" xfId="1" applyNumberFormat="1" applyFont="1" applyFill="1" applyBorder="1" applyAlignment="1">
      <alignment vertical="center" wrapText="1"/>
    </xf>
    <xf numFmtId="164" fontId="11" fillId="0" borderId="43" xfId="1" applyNumberFormat="1" applyFont="1" applyFill="1" applyBorder="1" applyAlignment="1"/>
    <xf numFmtId="164" fontId="10" fillId="0" borderId="43" xfId="1" applyNumberFormat="1" applyFont="1" applyFill="1" applyBorder="1" applyAlignment="1">
      <alignment horizontal="left"/>
    </xf>
    <xf numFmtId="164" fontId="10" fillId="0" borderId="43" xfId="1" applyNumberFormat="1" applyFont="1" applyFill="1" applyBorder="1" applyAlignment="1"/>
    <xf numFmtId="164" fontId="11" fillId="0" borderId="43" xfId="1" applyNumberFormat="1" applyFont="1" applyFill="1" applyBorder="1" applyAlignment="1">
      <alignment horizontal="left"/>
    </xf>
    <xf numFmtId="9" fontId="11" fillId="0" borderId="93" xfId="3" applyFont="1" applyFill="1" applyBorder="1" applyAlignment="1"/>
    <xf numFmtId="164" fontId="11" fillId="0" borderId="63" xfId="1" applyNumberFormat="1" applyFont="1" applyFill="1" applyBorder="1" applyAlignment="1"/>
    <xf numFmtId="168" fontId="11" fillId="0" borderId="86" xfId="4" applyNumberFormat="1" applyFont="1" applyBorder="1"/>
    <xf numFmtId="164" fontId="10" fillId="0" borderId="35" xfId="1" applyNumberFormat="1" applyFont="1" applyFill="1" applyBorder="1" applyAlignment="1">
      <alignment horizontal="center" vertical="center" wrapText="1"/>
    </xf>
    <xf numFmtId="1" fontId="10" fillId="0" borderId="78" xfId="4" applyNumberFormat="1" applyFont="1" applyBorder="1" applyAlignment="1">
      <alignment horizontal="center"/>
    </xf>
    <xf numFmtId="164" fontId="11" fillId="0" borderId="79" xfId="1" applyNumberFormat="1" applyFont="1" applyFill="1" applyBorder="1" applyAlignment="1">
      <alignment horizontal="right"/>
    </xf>
    <xf numFmtId="164" fontId="11" fillId="0" borderId="83" xfId="1" applyNumberFormat="1" applyFont="1" applyFill="1" applyBorder="1" applyAlignment="1">
      <alignment horizontal="right"/>
    </xf>
    <xf numFmtId="9" fontId="10" fillId="0" borderId="42" xfId="2" applyFont="1" applyFill="1" applyBorder="1" applyAlignment="1">
      <alignment vertical="center" wrapText="1"/>
    </xf>
    <xf numFmtId="0" fontId="11" fillId="0" borderId="42" xfId="0" applyFont="1" applyBorder="1" applyAlignment="1">
      <alignment vertical="center"/>
    </xf>
    <xf numFmtId="164" fontId="10" fillId="0" borderId="35" xfId="1" applyNumberFormat="1" applyFont="1" applyFill="1" applyBorder="1" applyAlignment="1">
      <alignment vertical="center" wrapText="1"/>
    </xf>
    <xf numFmtId="164" fontId="10" fillId="0" borderId="99" xfId="1" applyNumberFormat="1" applyFont="1" applyFill="1" applyBorder="1" applyAlignment="1">
      <alignment vertical="center" wrapText="1"/>
    </xf>
    <xf numFmtId="164" fontId="11" fillId="0" borderId="35" xfId="1" applyNumberFormat="1" applyFont="1" applyFill="1" applyBorder="1" applyAlignment="1">
      <alignment vertical="center" wrapText="1"/>
    </xf>
    <xf numFmtId="43" fontId="11" fillId="0" borderId="66" xfId="1" applyFont="1" applyFill="1" applyBorder="1" applyAlignment="1">
      <alignment horizontal="right"/>
    </xf>
    <xf numFmtId="0" fontId="11" fillId="0" borderId="77" xfId="0" applyFont="1" applyBorder="1" applyAlignment="1">
      <alignment horizontal="center" vertical="center" wrapText="1"/>
    </xf>
    <xf numFmtId="9" fontId="10" fillId="0" borderId="42" xfId="3" applyFont="1" applyFill="1" applyBorder="1" applyAlignment="1"/>
    <xf numFmtId="0" fontId="10" fillId="0" borderId="42" xfId="4" applyNumberFormat="1" applyFont="1" applyBorder="1"/>
    <xf numFmtId="0" fontId="10" fillId="0" borderId="42" xfId="4" applyNumberFormat="1" applyFont="1" applyBorder="1" applyAlignment="1">
      <alignment vertical="top"/>
    </xf>
    <xf numFmtId="168" fontId="11" fillId="0" borderId="93" xfId="4" applyNumberFormat="1" applyFont="1" applyBorder="1"/>
    <xf numFmtId="168" fontId="10" fillId="0" borderId="96" xfId="4" applyNumberFormat="1" applyFont="1" applyBorder="1" applyAlignment="1">
      <alignment horizontal="left" vertical="center"/>
    </xf>
    <xf numFmtId="9" fontId="10" fillId="0" borderId="77" xfId="3" applyFont="1" applyFill="1" applyBorder="1" applyAlignment="1">
      <alignment horizontal="left"/>
    </xf>
    <xf numFmtId="1" fontId="10" fillId="0" borderId="77" xfId="4" applyNumberFormat="1" applyFont="1" applyBorder="1" applyAlignment="1">
      <alignment horizontal="center"/>
    </xf>
    <xf numFmtId="0" fontId="12" fillId="0" borderId="42" xfId="0" applyFont="1" applyBorder="1"/>
    <xf numFmtId="164" fontId="13" fillId="0" borderId="66" xfId="1" applyNumberFormat="1" applyFont="1" applyFill="1" applyBorder="1" applyAlignment="1"/>
    <xf numFmtId="164" fontId="11" fillId="0" borderId="66" xfId="1" applyNumberFormat="1" applyFont="1" applyFill="1" applyBorder="1"/>
    <xf numFmtId="164" fontId="11" fillId="0" borderId="66" xfId="1" applyNumberFormat="1" applyFont="1" applyFill="1" applyBorder="1" applyAlignment="1"/>
    <xf numFmtId="0" fontId="11" fillId="0" borderId="42" xfId="0" applyFont="1" applyBorder="1"/>
    <xf numFmtId="164" fontId="10" fillId="0" borderId="99" xfId="1" applyNumberFormat="1" applyFont="1" applyFill="1" applyBorder="1"/>
    <xf numFmtId="0" fontId="10" fillId="0" borderId="42" xfId="4" applyNumberFormat="1" applyFont="1" applyBorder="1" applyAlignment="1">
      <alignment horizontal="left" vertical="top"/>
    </xf>
    <xf numFmtId="9" fontId="11" fillId="0" borderId="42" xfId="3" applyFont="1" applyFill="1" applyBorder="1" applyAlignment="1"/>
    <xf numFmtId="164" fontId="11" fillId="0" borderId="79" xfId="1" applyNumberFormat="1" applyFont="1" applyFill="1" applyBorder="1"/>
    <xf numFmtId="164" fontId="11" fillId="0" borderId="83" xfId="1" applyNumberFormat="1" applyFont="1" applyFill="1" applyBorder="1"/>
    <xf numFmtId="0" fontId="10" fillId="0" borderId="42" xfId="0" applyFont="1" applyBorder="1"/>
    <xf numFmtId="164" fontId="10" fillId="0" borderId="66" xfId="1" applyNumberFormat="1" applyFont="1" applyFill="1" applyBorder="1"/>
    <xf numFmtId="164" fontId="11" fillId="0" borderId="35" xfId="1" applyNumberFormat="1" applyFont="1" applyFill="1" applyBorder="1"/>
    <xf numFmtId="0" fontId="11" fillId="0" borderId="93" xfId="0" applyFont="1" applyBorder="1"/>
    <xf numFmtId="0" fontId="11" fillId="0" borderId="96" xfId="0" applyFont="1" applyBorder="1"/>
    <xf numFmtId="0" fontId="11" fillId="0" borderId="77" xfId="0" applyFont="1" applyBorder="1"/>
    <xf numFmtId="164" fontId="11" fillId="0" borderId="77" xfId="1" applyNumberFormat="1" applyFont="1" applyFill="1" applyBorder="1"/>
    <xf numFmtId="164" fontId="11" fillId="0" borderId="98" xfId="1" applyNumberFormat="1" applyFont="1" applyFill="1" applyBorder="1"/>
    <xf numFmtId="164" fontId="11" fillId="0" borderId="43" xfId="1" applyNumberFormat="1" applyFont="1" applyFill="1" applyBorder="1" applyAlignment="1">
      <alignment horizontal="justify" vertical="top" wrapText="1"/>
    </xf>
    <xf numFmtId="164" fontId="10" fillId="0" borderId="66" xfId="1" applyNumberFormat="1" applyFont="1" applyFill="1" applyBorder="1" applyAlignment="1">
      <alignment horizontal="center" vertical="center" wrapText="1"/>
    </xf>
    <xf numFmtId="9" fontId="12" fillId="0" borderId="42" xfId="3" applyFont="1" applyFill="1" applyBorder="1" applyAlignment="1">
      <alignment horizontal="left"/>
    </xf>
    <xf numFmtId="9" fontId="10" fillId="0" borderId="42" xfId="3" applyFont="1" applyFill="1" applyBorder="1" applyAlignment="1">
      <alignment horizontal="left"/>
    </xf>
    <xf numFmtId="164" fontId="11" fillId="0" borderId="66" xfId="1" applyNumberFormat="1" applyFont="1" applyFill="1" applyBorder="1" applyAlignment="1">
      <alignment horizontal="justify" vertical="top" wrapText="1"/>
    </xf>
    <xf numFmtId="164" fontId="11" fillId="0" borderId="66" xfId="1" applyNumberFormat="1" applyFont="1" applyFill="1" applyBorder="1" applyAlignment="1">
      <alignment horizontal="right" vertical="top" wrapText="1"/>
    </xf>
    <xf numFmtId="164" fontId="10" fillId="0" borderId="99" xfId="1" applyNumberFormat="1" applyFont="1" applyFill="1" applyBorder="1" applyAlignment="1">
      <alignment horizontal="right"/>
    </xf>
    <xf numFmtId="2" fontId="10" fillId="0" borderId="42" xfId="3" applyNumberFormat="1" applyFont="1" applyFill="1" applyBorder="1" applyAlignment="1"/>
    <xf numFmtId="0" fontId="11" fillId="0" borderId="42" xfId="4" applyNumberFormat="1" applyFont="1" applyBorder="1" applyAlignment="1">
      <alignment horizontal="justify" vertical="top" wrapText="1"/>
    </xf>
    <xf numFmtId="9" fontId="15" fillId="0" borderId="42" xfId="3" applyFont="1" applyFill="1" applyBorder="1" applyAlignment="1">
      <alignment horizontal="left"/>
    </xf>
    <xf numFmtId="0" fontId="11" fillId="0" borderId="42" xfId="4" applyNumberFormat="1" applyFont="1" applyBorder="1" applyAlignment="1">
      <alignment vertical="top"/>
    </xf>
    <xf numFmtId="164" fontId="11" fillId="0" borderId="66" xfId="1" applyNumberFormat="1" applyFont="1" applyFill="1" applyBorder="1" applyAlignment="1">
      <alignment horizontal="left" vertical="top" wrapText="1"/>
    </xf>
    <xf numFmtId="0" fontId="12" fillId="0" borderId="42" xfId="4" applyNumberFormat="1" applyFont="1" applyBorder="1" applyAlignment="1">
      <alignment vertical="top"/>
    </xf>
    <xf numFmtId="164" fontId="10" fillId="0" borderId="77" xfId="1" applyNumberFormat="1" applyFont="1" applyFill="1" applyBorder="1" applyAlignment="1">
      <alignment horizontal="right"/>
    </xf>
    <xf numFmtId="164" fontId="10" fillId="0" borderId="98" xfId="1" applyNumberFormat="1" applyFont="1" applyFill="1" applyBorder="1" applyAlignment="1">
      <alignment horizontal="right"/>
    </xf>
    <xf numFmtId="164" fontId="10" fillId="0" borderId="66" xfId="1" applyNumberFormat="1" applyFont="1" applyFill="1" applyBorder="1" applyAlignment="1">
      <alignment horizontal="justify" vertical="top" wrapText="1"/>
    </xf>
    <xf numFmtId="164" fontId="10" fillId="0" borderId="66" xfId="1" applyNumberFormat="1" applyFont="1" applyFill="1" applyBorder="1" applyAlignment="1"/>
    <xf numFmtId="2" fontId="12" fillId="0" borderId="42" xfId="3" applyNumberFormat="1" applyFont="1" applyFill="1" applyBorder="1" applyAlignment="1"/>
    <xf numFmtId="0" fontId="11" fillId="0" borderId="42" xfId="4" applyNumberFormat="1" applyFont="1" applyBorder="1" applyAlignment="1">
      <alignment horizontal="left"/>
    </xf>
    <xf numFmtId="164" fontId="11" fillId="0" borderId="35" xfId="1" applyNumberFormat="1" applyFont="1" applyFill="1" applyBorder="1" applyAlignment="1">
      <alignment horizontal="right"/>
    </xf>
    <xf numFmtId="164" fontId="10" fillId="0" borderId="99" xfId="1" applyNumberFormat="1" applyFont="1" applyFill="1" applyBorder="1" applyAlignment="1"/>
    <xf numFmtId="0" fontId="12" fillId="0" borderId="42" xfId="4" applyNumberFormat="1" applyFont="1" applyBorder="1"/>
    <xf numFmtId="164" fontId="11" fillId="0" borderId="66" xfId="1" applyNumberFormat="1" applyFont="1" applyFill="1" applyBorder="1" applyAlignment="1">
      <alignment horizontal="left" wrapText="1"/>
    </xf>
    <xf numFmtId="0" fontId="10" fillId="0" borderId="42" xfId="4" applyNumberFormat="1" applyFont="1" applyBorder="1" applyAlignment="1">
      <alignment horizontal="left"/>
    </xf>
    <xf numFmtId="14" fontId="10" fillId="0" borderId="77" xfId="4" applyNumberFormat="1" applyFont="1" applyBorder="1" applyAlignment="1">
      <alignment horizontal="center"/>
    </xf>
    <xf numFmtId="14" fontId="10" fillId="0" borderId="83" xfId="4" applyNumberFormat="1" applyFont="1" applyBorder="1" applyAlignment="1">
      <alignment horizontal="center"/>
    </xf>
    <xf numFmtId="164" fontId="10" fillId="0" borderId="35" xfId="1" applyNumberFormat="1" applyFont="1" applyFill="1" applyBorder="1" applyAlignment="1">
      <alignment horizontal="center" vertical="center"/>
    </xf>
    <xf numFmtId="9" fontId="11" fillId="0" borderId="42" xfId="3" applyFont="1" applyFill="1" applyBorder="1" applyAlignment="1">
      <alignment horizontal="left"/>
    </xf>
    <xf numFmtId="2" fontId="11" fillId="0" borderId="93" xfId="3" applyNumberFormat="1" applyFont="1" applyFill="1" applyBorder="1" applyAlignment="1"/>
    <xf numFmtId="164" fontId="11" fillId="0" borderId="35" xfId="1" applyNumberFormat="1" applyFont="1" applyFill="1" applyBorder="1" applyAlignment="1"/>
    <xf numFmtId="164" fontId="10" fillId="0" borderId="66" xfId="1" applyNumberFormat="1" applyFont="1" applyFill="1" applyBorder="1" applyAlignment="1">
      <alignment horizontal="left" vertical="top" wrapText="1"/>
    </xf>
    <xf numFmtId="2" fontId="10" fillId="0" borderId="96" xfId="3" applyNumberFormat="1" applyFont="1" applyFill="1" applyBorder="1" applyAlignment="1"/>
    <xf numFmtId="1" fontId="11" fillId="0" borderId="77" xfId="4" applyNumberFormat="1" applyFont="1" applyBorder="1"/>
    <xf numFmtId="164" fontId="11" fillId="0" borderId="77" xfId="1" applyNumberFormat="1" applyFont="1" applyFill="1" applyBorder="1" applyAlignment="1"/>
    <xf numFmtId="164" fontId="11" fillId="0" borderId="98" xfId="1" applyNumberFormat="1" applyFont="1" applyFill="1" applyBorder="1" applyAlignment="1"/>
    <xf numFmtId="2" fontId="10" fillId="0" borderId="42" xfId="3" applyNumberFormat="1" applyFont="1" applyFill="1" applyBorder="1" applyAlignment="1">
      <alignment vertical="top" wrapText="1"/>
    </xf>
    <xf numFmtId="164" fontId="10" fillId="0" borderId="43" xfId="1" applyNumberFormat="1" applyFont="1" applyFill="1" applyBorder="1" applyAlignment="1">
      <alignment horizontal="justify" vertical="top" wrapText="1"/>
    </xf>
    <xf numFmtId="164" fontId="10" fillId="0" borderId="43" xfId="1" applyNumberFormat="1" applyFont="1" applyFill="1" applyBorder="1" applyAlignment="1">
      <alignment horizontal="left" vertical="top" wrapText="1"/>
    </xf>
    <xf numFmtId="9" fontId="10" fillId="0" borderId="42" xfId="3" applyFont="1" applyFill="1" applyBorder="1" applyAlignment="1">
      <alignment horizontal="justify" vertical="top"/>
    </xf>
    <xf numFmtId="2" fontId="11" fillId="0" borderId="42" xfId="3" applyNumberFormat="1" applyFont="1" applyFill="1" applyBorder="1" applyAlignment="1">
      <alignment vertical="top" wrapText="1"/>
    </xf>
    <xf numFmtId="9" fontId="12" fillId="0" borderId="42" xfId="3" applyFont="1" applyFill="1" applyBorder="1" applyAlignment="1"/>
    <xf numFmtId="9" fontId="10" fillId="0" borderId="93" xfId="3" applyFont="1" applyFill="1" applyBorder="1" applyAlignment="1"/>
    <xf numFmtId="164" fontId="10" fillId="0" borderId="63" xfId="1" applyNumberFormat="1" applyFont="1" applyFill="1" applyBorder="1" applyAlignment="1"/>
    <xf numFmtId="9" fontId="11" fillId="0" borderId="94" xfId="3" applyFont="1" applyFill="1" applyBorder="1" applyAlignment="1"/>
    <xf numFmtId="1" fontId="10" fillId="0" borderId="94" xfId="4" applyNumberFormat="1" applyFont="1" applyBorder="1"/>
    <xf numFmtId="164" fontId="10" fillId="0" borderId="94" xfId="1" applyNumberFormat="1" applyFont="1" applyFill="1" applyBorder="1" applyAlignment="1"/>
    <xf numFmtId="164" fontId="10" fillId="0" borderId="87" xfId="1" applyNumberFormat="1" applyFont="1" applyFill="1" applyBorder="1" applyAlignment="1"/>
    <xf numFmtId="0" fontId="15" fillId="0" borderId="42" xfId="0" applyFont="1" applyBorder="1"/>
    <xf numFmtId="164" fontId="11" fillId="0" borderId="35" xfId="1" applyNumberFormat="1" applyFont="1" applyFill="1" applyBorder="1" applyAlignment="1">
      <alignment horizontal="center"/>
    </xf>
    <xf numFmtId="9" fontId="10" fillId="0" borderId="42" xfId="3" applyFont="1" applyFill="1" applyBorder="1" applyAlignment="1">
      <alignment horizontal="left" vertical="top"/>
    </xf>
    <xf numFmtId="9" fontId="15" fillId="0" borderId="42" xfId="3" applyFont="1" applyFill="1" applyBorder="1" applyAlignment="1">
      <alignment horizontal="left" vertical="top"/>
    </xf>
    <xf numFmtId="9" fontId="11" fillId="0" borderId="42" xfId="3" applyFont="1" applyFill="1" applyBorder="1" applyAlignment="1">
      <alignment horizontal="left" vertical="top"/>
    </xf>
    <xf numFmtId="164" fontId="11" fillId="0" borderId="35" xfId="1" applyNumberFormat="1" applyFont="1" applyFill="1" applyBorder="1" applyAlignment="1">
      <alignment horizontal="left" vertical="top" wrapText="1"/>
    </xf>
    <xf numFmtId="2" fontId="11" fillId="0" borderId="42" xfId="5" applyNumberFormat="1" applyFont="1" applyFill="1" applyBorder="1" applyAlignment="1"/>
    <xf numFmtId="0" fontId="15" fillId="0" borderId="42" xfId="4" applyNumberFormat="1" applyFont="1" applyBorder="1" applyAlignment="1">
      <alignment horizontal="left"/>
    </xf>
    <xf numFmtId="0" fontId="11" fillId="0" borderId="42" xfId="4" applyNumberFormat="1" applyFont="1" applyBorder="1" applyAlignment="1">
      <alignment horizontal="left" vertical="top"/>
    </xf>
    <xf numFmtId="0" fontId="11" fillId="0" borderId="42" xfId="4" applyNumberFormat="1" applyFont="1" applyBorder="1" applyAlignment="1">
      <alignment horizontal="left" vertical="top" wrapText="1"/>
    </xf>
    <xf numFmtId="0" fontId="11" fillId="0" borderId="43" xfId="4" applyNumberFormat="1" applyFont="1" applyBorder="1" applyAlignment="1">
      <alignment horizontal="left" vertical="top" wrapText="1"/>
    </xf>
    <xf numFmtId="164" fontId="11" fillId="0" borderId="79" xfId="1" applyNumberFormat="1" applyFont="1" applyFill="1" applyBorder="1" applyAlignment="1"/>
    <xf numFmtId="164" fontId="11" fillId="0" borderId="83" xfId="1" applyNumberFormat="1" applyFont="1" applyFill="1" applyBorder="1" applyAlignment="1"/>
    <xf numFmtId="0" fontId="10" fillId="0" borderId="42" xfId="4" applyNumberFormat="1" applyFont="1" applyBorder="1" applyAlignment="1">
      <alignment horizontal="center" wrapText="1"/>
    </xf>
    <xf numFmtId="2" fontId="11" fillId="0" borderId="42" xfId="3" applyNumberFormat="1" applyFont="1" applyFill="1" applyBorder="1" applyAlignment="1"/>
    <xf numFmtId="9" fontId="11" fillId="0" borderId="42" xfId="4" applyNumberFormat="1" applyFont="1" applyBorder="1" applyAlignment="1">
      <alignment vertical="top"/>
    </xf>
    <xf numFmtId="9" fontId="11" fillId="0" borderId="42" xfId="3" quotePrefix="1" applyFont="1" applyFill="1" applyBorder="1" applyAlignment="1"/>
    <xf numFmtId="168" fontId="11" fillId="0" borderId="42" xfId="6" quotePrefix="1" applyNumberFormat="1" applyFont="1" applyBorder="1"/>
    <xf numFmtId="168" fontId="10" fillId="0" borderId="42" xfId="6" applyNumberFormat="1" applyFont="1" applyBorder="1"/>
    <xf numFmtId="168" fontId="11" fillId="0" borderId="42" xfId="6" applyNumberFormat="1" applyFont="1" applyBorder="1"/>
    <xf numFmtId="9" fontId="15" fillId="0" borderId="42" xfId="3" applyFont="1" applyFill="1" applyBorder="1" applyAlignment="1"/>
    <xf numFmtId="164" fontId="10" fillId="0" borderId="99" xfId="1" applyNumberFormat="1" applyFont="1" applyFill="1" applyBorder="1" applyAlignment="1">
      <alignment horizontal="center"/>
    </xf>
    <xf numFmtId="43" fontId="11" fillId="0" borderId="66" xfId="1" applyFont="1" applyFill="1" applyBorder="1" applyAlignment="1">
      <alignment horizontal="center"/>
    </xf>
    <xf numFmtId="164" fontId="10" fillId="0" borderId="43" xfId="1" applyNumberFormat="1" applyFont="1" applyFill="1" applyBorder="1" applyAlignment="1">
      <alignment horizontal="left" wrapText="1"/>
    </xf>
    <xf numFmtId="9" fontId="10" fillId="0" borderId="42" xfId="3" applyFont="1" applyFill="1" applyBorder="1" applyAlignment="1">
      <alignment horizontal="left" wrapText="1"/>
    </xf>
    <xf numFmtId="9" fontId="11" fillId="0" borderId="66" xfId="2" applyFont="1" applyFill="1" applyBorder="1" applyAlignment="1">
      <alignment horizontal="right"/>
    </xf>
    <xf numFmtId="9" fontId="11" fillId="0" borderId="80" xfId="3" applyFont="1" applyFill="1" applyBorder="1" applyAlignment="1"/>
    <xf numFmtId="9" fontId="11" fillId="0" borderId="43" xfId="3" applyFont="1" applyFill="1" applyBorder="1" applyAlignment="1">
      <alignment horizontal="left" wrapText="1"/>
    </xf>
    <xf numFmtId="9" fontId="10" fillId="0" borderId="96" xfId="3" applyFont="1" applyFill="1" applyBorder="1" applyAlignment="1">
      <alignment horizontal="left" wrapText="1"/>
    </xf>
    <xf numFmtId="9" fontId="11" fillId="0" borderId="77" xfId="3" applyFont="1" applyFill="1" applyBorder="1" applyAlignment="1">
      <alignment horizontal="left" wrapText="1"/>
    </xf>
    <xf numFmtId="9" fontId="11" fillId="0" borderId="86" xfId="3" applyFont="1" applyFill="1" applyBorder="1" applyAlignment="1">
      <alignment horizontal="left" wrapText="1"/>
    </xf>
    <xf numFmtId="164" fontId="10" fillId="0" borderId="77" xfId="1" applyNumberFormat="1" applyFont="1" applyFill="1" applyBorder="1" applyAlignment="1">
      <alignment horizontal="center"/>
    </xf>
    <xf numFmtId="164" fontId="10" fillId="0" borderId="98" xfId="1" applyNumberFormat="1" applyFont="1" applyFill="1" applyBorder="1" applyAlignment="1">
      <alignment horizontal="center"/>
    </xf>
    <xf numFmtId="164" fontId="11" fillId="0" borderId="79" xfId="1" applyNumberFormat="1" applyFont="1" applyFill="1" applyBorder="1" applyAlignment="1">
      <alignment horizontal="left" vertical="top" wrapText="1"/>
    </xf>
    <xf numFmtId="164" fontId="11" fillId="0" borderId="83" xfId="1" applyNumberFormat="1" applyFont="1" applyFill="1" applyBorder="1" applyAlignment="1">
      <alignment horizontal="left" vertical="top" wrapText="1"/>
    </xf>
    <xf numFmtId="164" fontId="11" fillId="0" borderId="66" xfId="1" applyNumberFormat="1" applyFont="1" applyFill="1" applyBorder="1" applyAlignment="1">
      <alignment vertical="top" wrapText="1"/>
    </xf>
    <xf numFmtId="168" fontId="12" fillId="0" borderId="93" xfId="0" applyNumberFormat="1" applyFont="1" applyBorder="1" applyAlignment="1">
      <alignment horizontal="left" vertical="top"/>
    </xf>
    <xf numFmtId="164" fontId="12" fillId="0" borderId="35" xfId="1" applyNumberFormat="1" applyFont="1" applyFill="1" applyBorder="1" applyAlignment="1">
      <alignment horizontal="left" vertical="top"/>
    </xf>
    <xf numFmtId="1" fontId="10" fillId="0" borderId="77" xfId="4" applyNumberFormat="1" applyFont="1" applyBorder="1"/>
    <xf numFmtId="1" fontId="10" fillId="0" borderId="86" xfId="4" applyNumberFormat="1" applyFont="1" applyBorder="1"/>
    <xf numFmtId="168" fontId="10" fillId="0" borderId="93" xfId="4" applyNumberFormat="1" applyFont="1" applyBorder="1"/>
    <xf numFmtId="168" fontId="10" fillId="0" borderId="96" xfId="4" applyNumberFormat="1" applyFont="1" applyBorder="1"/>
    <xf numFmtId="168" fontId="10" fillId="0" borderId="77" xfId="4" applyNumberFormat="1" applyFont="1" applyBorder="1" applyAlignment="1">
      <alignment wrapText="1"/>
    </xf>
    <xf numFmtId="164" fontId="10" fillId="0" borderId="79" xfId="1" applyNumberFormat="1" applyFont="1" applyFill="1" applyBorder="1" applyAlignment="1">
      <alignment horizontal="left" wrapText="1"/>
    </xf>
    <xf numFmtId="164" fontId="10" fillId="0" borderId="83" xfId="1" applyNumberFormat="1" applyFont="1" applyFill="1" applyBorder="1" applyAlignment="1">
      <alignment horizontal="left" wrapText="1"/>
    </xf>
    <xf numFmtId="168" fontId="11" fillId="0" borderId="42" xfId="4" applyNumberFormat="1" applyFont="1" applyBorder="1" applyAlignment="1">
      <alignment vertical="top"/>
    </xf>
    <xf numFmtId="164" fontId="11" fillId="0" borderId="66" xfId="1" applyNumberFormat="1" applyFont="1" applyFill="1" applyBorder="1" applyAlignment="1">
      <alignment vertical="top"/>
    </xf>
    <xf numFmtId="168" fontId="10" fillId="0" borderId="42" xfId="4" applyNumberFormat="1" applyFont="1" applyBorder="1" applyAlignment="1">
      <alignment vertical="top"/>
    </xf>
    <xf numFmtId="10" fontId="11" fillId="0" borderId="66" xfId="2" applyNumberFormat="1" applyFont="1" applyFill="1" applyBorder="1" applyAlignment="1">
      <alignment horizontal="right"/>
    </xf>
    <xf numFmtId="10" fontId="11" fillId="0" borderId="35" xfId="2" applyNumberFormat="1" applyFont="1" applyFill="1" applyBorder="1" applyAlignment="1">
      <alignment horizontal="right"/>
    </xf>
    <xf numFmtId="164" fontId="10" fillId="0" borderId="35" xfId="1" applyNumberFormat="1" applyFont="1" applyFill="1" applyBorder="1"/>
    <xf numFmtId="168" fontId="10" fillId="0" borderId="96" xfId="4" applyNumberFormat="1" applyFont="1" applyBorder="1" applyAlignment="1">
      <alignment horizontal="center"/>
    </xf>
    <xf numFmtId="168" fontId="10" fillId="0" borderId="77" xfId="4" applyNumberFormat="1" applyFont="1" applyBorder="1" applyAlignment="1">
      <alignment horizontal="center"/>
    </xf>
    <xf numFmtId="164" fontId="11" fillId="0" borderId="43" xfId="1" applyNumberFormat="1" applyFont="1" applyFill="1" applyBorder="1"/>
    <xf numFmtId="164" fontId="11" fillId="0" borderId="43" xfId="1" applyNumberFormat="1" applyFont="1" applyFill="1" applyBorder="1" applyAlignment="1">
      <alignment horizontal="justify" vertical="top"/>
    </xf>
    <xf numFmtId="172" fontId="10" fillId="0" borderId="86" xfId="1" applyNumberFormat="1" applyFont="1" applyFill="1" applyBorder="1" applyAlignment="1">
      <alignment horizontal="center" vertical="center" wrapText="1"/>
    </xf>
    <xf numFmtId="9" fontId="11" fillId="0" borderId="77" xfId="3" applyFont="1" applyFill="1" applyBorder="1" applyAlignment="1"/>
    <xf numFmtId="1" fontId="11" fillId="0" borderId="86" xfId="4" applyNumberFormat="1" applyFont="1" applyBorder="1"/>
    <xf numFmtId="164" fontId="11" fillId="0" borderId="86" xfId="1" applyNumberFormat="1" applyFont="1" applyFill="1" applyBorder="1" applyAlignment="1"/>
    <xf numFmtId="9" fontId="10" fillId="0" borderId="42" xfId="2" applyFont="1" applyFill="1" applyBorder="1" applyAlignment="1"/>
    <xf numFmtId="9" fontId="11" fillId="0" borderId="42" xfId="2" applyFont="1" applyFill="1" applyBorder="1" applyAlignment="1"/>
    <xf numFmtId="9" fontId="11" fillId="0" borderId="93" xfId="2" applyFont="1" applyFill="1" applyBorder="1" applyAlignment="1"/>
    <xf numFmtId="9" fontId="12" fillId="0" borderId="96" xfId="2" applyFont="1" applyFill="1" applyBorder="1" applyAlignment="1"/>
    <xf numFmtId="164" fontId="10" fillId="0" borderId="66" xfId="1" applyNumberFormat="1" applyFont="1" applyFill="1" applyBorder="1" applyAlignment="1">
      <alignment vertical="center"/>
    </xf>
    <xf numFmtId="164" fontId="11" fillId="0" borderId="66" xfId="1" applyNumberFormat="1" applyFont="1" applyFill="1" applyBorder="1" applyAlignment="1">
      <alignment horizontal="right" vertical="center"/>
    </xf>
    <xf numFmtId="9" fontId="11" fillId="0" borderId="96" xfId="3" applyFont="1" applyFill="1" applyBorder="1" applyAlignment="1"/>
    <xf numFmtId="0" fontId="11" fillId="0" borderId="42" xfId="0" applyFont="1" applyBorder="1" applyAlignment="1">
      <alignment horizontal="left" vertical="center" wrapText="1"/>
    </xf>
    <xf numFmtId="168" fontId="10" fillId="0" borderId="42" xfId="4" applyNumberFormat="1" applyFont="1" applyBorder="1" applyAlignment="1">
      <alignment horizontal="center"/>
    </xf>
    <xf numFmtId="0" fontId="11" fillId="0" borderId="43" xfId="0" applyFont="1" applyBorder="1" applyAlignment="1">
      <alignment horizontal="left" vertical="top" wrapText="1"/>
    </xf>
    <xf numFmtId="164" fontId="11" fillId="0" borderId="43" xfId="1" applyNumberFormat="1" applyFont="1" applyFill="1" applyBorder="1" applyAlignment="1">
      <alignment horizontal="left" vertical="top" wrapText="1"/>
    </xf>
    <xf numFmtId="168" fontId="12" fillId="0" borderId="42" xfId="4" applyNumberFormat="1" applyFont="1" applyBorder="1"/>
    <xf numFmtId="169" fontId="11" fillId="0" borderId="66" xfId="1" applyNumberFormat="1" applyFont="1" applyFill="1" applyBorder="1" applyAlignment="1">
      <alignment horizontal="right"/>
    </xf>
    <xf numFmtId="169" fontId="11" fillId="0" borderId="35" xfId="1" applyNumberFormat="1" applyFont="1" applyFill="1" applyBorder="1" applyAlignment="1">
      <alignment horizontal="right"/>
    </xf>
    <xf numFmtId="168" fontId="15" fillId="0" borderId="42" xfId="4" applyNumberFormat="1" applyFont="1" applyBorder="1" applyAlignment="1">
      <alignment wrapText="1"/>
    </xf>
    <xf numFmtId="164" fontId="15" fillId="0" borderId="43" xfId="1" applyNumberFormat="1" applyFont="1" applyFill="1" applyBorder="1" applyAlignment="1">
      <alignment wrapText="1"/>
    </xf>
    <xf numFmtId="164" fontId="11" fillId="0" borderId="43" xfId="1" applyNumberFormat="1" applyFont="1" applyFill="1" applyBorder="1" applyAlignment="1">
      <alignment vertical="top"/>
    </xf>
    <xf numFmtId="168" fontId="10" fillId="0" borderId="91" xfId="4" applyNumberFormat="1" applyFont="1" applyBorder="1"/>
    <xf numFmtId="9" fontId="10" fillId="0" borderId="81" xfId="3" applyFont="1" applyFill="1" applyBorder="1" applyAlignment="1"/>
    <xf numFmtId="1" fontId="11" fillId="0" borderId="81" xfId="4" applyNumberFormat="1" applyFont="1" applyBorder="1"/>
    <xf numFmtId="1" fontId="11" fillId="0" borderId="81" xfId="4" applyNumberFormat="1" applyFont="1" applyBorder="1" applyAlignment="1">
      <alignment horizontal="left"/>
    </xf>
    <xf numFmtId="164" fontId="11" fillId="0" borderId="81" xfId="1" applyNumberFormat="1" applyFont="1" applyFill="1" applyBorder="1" applyAlignment="1">
      <alignment horizontal="left"/>
    </xf>
    <xf numFmtId="164" fontId="11" fillId="0" borderId="95" xfId="1" applyNumberFormat="1" applyFont="1" applyFill="1" applyBorder="1" applyAlignment="1">
      <alignment horizontal="left"/>
    </xf>
    <xf numFmtId="168" fontId="10" fillId="0" borderId="42" xfId="4" applyNumberFormat="1" applyFont="1" applyBorder="1" applyAlignment="1">
      <alignment horizontal="left" vertical="center"/>
    </xf>
    <xf numFmtId="164" fontId="11" fillId="0" borderId="81" xfId="1" applyNumberFormat="1" applyFont="1" applyFill="1" applyBorder="1" applyAlignment="1"/>
    <xf numFmtId="164" fontId="11" fillId="0" borderId="95" xfId="1" applyNumberFormat="1" applyFont="1" applyFill="1" applyBorder="1" applyAlignment="1"/>
    <xf numFmtId="168" fontId="11" fillId="0" borderId="91" xfId="4" applyNumberFormat="1" applyFont="1" applyBorder="1"/>
    <xf numFmtId="168" fontId="11" fillId="0" borderId="81" xfId="4" applyNumberFormat="1" applyFont="1" applyBorder="1"/>
    <xf numFmtId="9" fontId="10" fillId="0" borderId="91" xfId="3" applyFont="1" applyFill="1" applyBorder="1" applyAlignment="1"/>
    <xf numFmtId="168" fontId="11" fillId="0" borderId="101" xfId="4" applyNumberFormat="1" applyFont="1" applyBorder="1"/>
    <xf numFmtId="164" fontId="11" fillId="0" borderId="101" xfId="1" applyNumberFormat="1" applyFont="1" applyFill="1" applyBorder="1" applyAlignment="1"/>
    <xf numFmtId="164" fontId="11" fillId="0" borderId="88" xfId="1" applyNumberFormat="1" applyFont="1" applyFill="1" applyBorder="1" applyAlignment="1"/>
    <xf numFmtId="164" fontId="11" fillId="0" borderId="89" xfId="1" applyNumberFormat="1" applyFont="1" applyFill="1" applyBorder="1" applyAlignment="1"/>
    <xf numFmtId="9" fontId="83" fillId="0" borderId="21" xfId="3" applyFont="1" applyFill="1" applyBorder="1"/>
    <xf numFmtId="168" fontId="83" fillId="0" borderId="27" xfId="26" applyNumberFormat="1" applyFont="1" applyBorder="1"/>
    <xf numFmtId="168" fontId="83" fillId="0" borderId="27" xfId="26" applyNumberFormat="1" applyFont="1" applyBorder="1" applyAlignment="1">
      <alignment horizontal="center"/>
    </xf>
    <xf numFmtId="9" fontId="83" fillId="0" borderId="27" xfId="3" applyFont="1" applyFill="1" applyBorder="1"/>
    <xf numFmtId="9" fontId="83" fillId="0" borderId="50" xfId="3" applyFont="1" applyFill="1" applyBorder="1"/>
    <xf numFmtId="37" fontId="83" fillId="0" borderId="90" xfId="8" applyNumberFormat="1" applyFont="1" applyFill="1" applyBorder="1" applyAlignment="1">
      <alignment horizontal="right"/>
    </xf>
    <xf numFmtId="9" fontId="83" fillId="0" borderId="42" xfId="3" applyFont="1" applyFill="1" applyBorder="1"/>
    <xf numFmtId="9" fontId="83" fillId="0" borderId="0" xfId="3" applyFont="1" applyFill="1" applyBorder="1"/>
    <xf numFmtId="37" fontId="83" fillId="0" borderId="43" xfId="8" applyNumberFormat="1" applyFont="1" applyFill="1" applyBorder="1" applyAlignment="1">
      <alignment horizontal="right"/>
    </xf>
    <xf numFmtId="168" fontId="83" fillId="0" borderId="0" xfId="26" applyNumberFormat="1" applyFont="1" applyAlignment="1">
      <alignment horizontal="center"/>
    </xf>
    <xf numFmtId="168" fontId="84" fillId="0" borderId="42" xfId="26" applyNumberFormat="1" applyFont="1" applyBorder="1"/>
    <xf numFmtId="168" fontId="83" fillId="0" borderId="96" xfId="26" applyNumberFormat="1" applyFont="1" applyBorder="1" applyAlignment="1">
      <alignment horizontal="center" vertical="top" wrapText="1"/>
    </xf>
    <xf numFmtId="168" fontId="83" fillId="0" borderId="77" xfId="26" applyNumberFormat="1" applyFont="1" applyBorder="1" applyAlignment="1">
      <alignment horizontal="center" vertical="top" wrapText="1"/>
    </xf>
    <xf numFmtId="168" fontId="83" fillId="0" borderId="86" xfId="26" applyNumberFormat="1" applyFont="1" applyBorder="1" applyAlignment="1">
      <alignment horizontal="center" vertical="top" wrapText="1"/>
    </xf>
    <xf numFmtId="0" fontId="0" fillId="0" borderId="66" xfId="0" applyBorder="1"/>
    <xf numFmtId="170" fontId="84" fillId="0" borderId="42" xfId="27" applyNumberFormat="1" applyFont="1" applyFill="1" applyBorder="1"/>
    <xf numFmtId="173" fontId="84" fillId="0" borderId="66" xfId="27" applyNumberFormat="1" applyFont="1" applyFill="1" applyBorder="1"/>
    <xf numFmtId="3" fontId="84" fillId="0" borderId="0" xfId="27" applyNumberFormat="1" applyFont="1" applyFill="1" applyBorder="1"/>
    <xf numFmtId="170" fontId="83" fillId="0" borderId="42" xfId="27" applyNumberFormat="1" applyFont="1" applyFill="1" applyBorder="1"/>
    <xf numFmtId="49" fontId="84" fillId="0" borderId="0" xfId="26" applyNumberFormat="1" applyFont="1"/>
    <xf numFmtId="173" fontId="84" fillId="0" borderId="35" xfId="27" applyNumberFormat="1" applyFont="1" applyFill="1" applyBorder="1" applyAlignment="1">
      <alignment horizontal="right"/>
    </xf>
    <xf numFmtId="37" fontId="83" fillId="0" borderId="66" xfId="8" applyNumberFormat="1" applyFont="1" applyFill="1" applyBorder="1" applyAlignment="1">
      <alignment horizontal="right"/>
    </xf>
    <xf numFmtId="173" fontId="84" fillId="0" borderId="66" xfId="27" applyNumberFormat="1" applyFont="1" applyFill="1" applyBorder="1" applyAlignment="1">
      <alignment horizontal="right"/>
    </xf>
    <xf numFmtId="168" fontId="83" fillId="0" borderId="0" xfId="26" applyNumberFormat="1" applyFont="1" applyAlignment="1">
      <alignment horizontal="right"/>
    </xf>
    <xf numFmtId="168" fontId="86" fillId="0" borderId="0" xfId="26" applyNumberFormat="1" applyFont="1"/>
    <xf numFmtId="164" fontId="84" fillId="0" borderId="0" xfId="8" applyNumberFormat="1" applyFont="1" applyFill="1" applyBorder="1"/>
    <xf numFmtId="168" fontId="84" fillId="0" borderId="0" xfId="26" applyNumberFormat="1" applyFont="1" applyAlignment="1">
      <alignment horizontal="right"/>
    </xf>
    <xf numFmtId="9" fontId="84" fillId="0" borderId="42" xfId="3" applyFont="1" applyFill="1" applyBorder="1"/>
    <xf numFmtId="37" fontId="83" fillId="0" borderId="79" xfId="8" applyNumberFormat="1" applyFont="1" applyFill="1" applyBorder="1" applyAlignment="1">
      <alignment horizontal="right"/>
    </xf>
    <xf numFmtId="37" fontId="83" fillId="0" borderId="83" xfId="8" applyNumberFormat="1" applyFont="1" applyFill="1" applyBorder="1" applyAlignment="1">
      <alignment horizontal="right"/>
    </xf>
    <xf numFmtId="173" fontId="83" fillId="0" borderId="66" xfId="27" applyNumberFormat="1" applyFont="1" applyFill="1" applyBorder="1" applyAlignment="1">
      <alignment horizontal="right"/>
    </xf>
    <xf numFmtId="37" fontId="83" fillId="0" borderId="99" xfId="8" applyNumberFormat="1" applyFont="1" applyFill="1" applyBorder="1"/>
    <xf numFmtId="164" fontId="83" fillId="0" borderId="66" xfId="8" applyNumberFormat="1" applyFont="1" applyFill="1" applyBorder="1" applyAlignment="1">
      <alignment horizontal="right"/>
    </xf>
    <xf numFmtId="164" fontId="83" fillId="0" borderId="99" xfId="27" applyNumberFormat="1" applyFont="1" applyFill="1" applyBorder="1" applyAlignment="1">
      <alignment horizontal="right"/>
    </xf>
    <xf numFmtId="173" fontId="83" fillId="0" borderId="66" xfId="27" applyNumberFormat="1" applyFont="1" applyFill="1" applyBorder="1"/>
    <xf numFmtId="170" fontId="84" fillId="0" borderId="0" xfId="27" applyNumberFormat="1" applyFont="1" applyFill="1" applyBorder="1"/>
    <xf numFmtId="37" fontId="84" fillId="0" borderId="66" xfId="8" applyNumberFormat="1" applyFont="1" applyFill="1" applyBorder="1" applyAlignment="1">
      <alignment horizontal="right"/>
    </xf>
    <xf numFmtId="0" fontId="89" fillId="0" borderId="0" xfId="26" applyNumberFormat="1" applyFont="1" applyAlignment="1">
      <alignment vertical="top"/>
    </xf>
    <xf numFmtId="173" fontId="84" fillId="0" borderId="35" xfId="27" applyNumberFormat="1" applyFont="1" applyFill="1" applyBorder="1"/>
    <xf numFmtId="168" fontId="83" fillId="0" borderId="0" xfId="26" applyNumberFormat="1" applyFont="1" applyAlignment="1">
      <alignment horizontal="left"/>
    </xf>
    <xf numFmtId="37" fontId="84" fillId="0" borderId="35" xfId="8" applyNumberFormat="1" applyFont="1" applyFill="1" applyBorder="1" applyAlignment="1">
      <alignment horizontal="right"/>
    </xf>
    <xf numFmtId="37" fontId="84" fillId="0" borderId="66" xfId="8" applyNumberFormat="1" applyFont="1" applyFill="1" applyBorder="1"/>
    <xf numFmtId="170" fontId="83" fillId="0" borderId="0" xfId="27" applyNumberFormat="1" applyFont="1" applyFill="1" applyBorder="1" applyAlignment="1">
      <alignment horizontal="right"/>
    </xf>
    <xf numFmtId="170" fontId="84" fillId="0" borderId="66" xfId="8" applyFont="1" applyFill="1" applyBorder="1" applyAlignment="1">
      <alignment horizontal="right"/>
    </xf>
    <xf numFmtId="170" fontId="83" fillId="0" borderId="0" xfId="27" applyNumberFormat="1" applyFont="1" applyFill="1" applyBorder="1"/>
    <xf numFmtId="37" fontId="83" fillId="0" borderId="76" xfId="8" applyNumberFormat="1" applyFont="1" applyFill="1" applyBorder="1" applyAlignment="1">
      <alignment horizontal="right"/>
    </xf>
    <xf numFmtId="37" fontId="83" fillId="0" borderId="37" xfId="8" applyNumberFormat="1" applyFont="1" applyFill="1" applyBorder="1" applyAlignment="1">
      <alignment horizontal="right"/>
    </xf>
    <xf numFmtId="168" fontId="84" fillId="0" borderId="91" xfId="26" applyNumberFormat="1" applyFont="1" applyBorder="1"/>
    <xf numFmtId="168" fontId="84" fillId="0" borderId="81" xfId="26" applyNumberFormat="1" applyFont="1" applyBorder="1"/>
    <xf numFmtId="173" fontId="84" fillId="0" borderId="101" xfId="27" applyNumberFormat="1" applyFont="1" applyFill="1" applyBorder="1"/>
    <xf numFmtId="173" fontId="84" fillId="0" borderId="88" xfId="27" applyNumberFormat="1" applyFont="1" applyFill="1" applyBorder="1"/>
    <xf numFmtId="173" fontId="84" fillId="0" borderId="89" xfId="27" applyNumberFormat="1" applyFont="1" applyFill="1" applyBorder="1"/>
    <xf numFmtId="168" fontId="84" fillId="0" borderId="27" xfId="26" applyNumberFormat="1" applyFont="1" applyBorder="1"/>
    <xf numFmtId="173" fontId="84" fillId="0" borderId="27" xfId="27" applyNumberFormat="1" applyFont="1" applyFill="1" applyBorder="1"/>
    <xf numFmtId="37" fontId="84" fillId="0" borderId="27" xfId="8" applyNumberFormat="1" applyFont="1" applyFill="1" applyBorder="1" applyAlignment="1">
      <alignment horizontal="right"/>
    </xf>
    <xf numFmtId="0" fontId="116" fillId="0" borderId="0" xfId="0" applyFont="1"/>
    <xf numFmtId="0" fontId="95" fillId="0" borderId="0" xfId="0" applyFont="1"/>
    <xf numFmtId="0" fontId="9" fillId="0" borderId="0" xfId="0" applyFont="1" applyAlignment="1">
      <alignment horizontal="center"/>
    </xf>
    <xf numFmtId="1" fontId="95" fillId="0" borderId="0" xfId="0" applyNumberFormat="1" applyFont="1" applyAlignment="1">
      <alignment horizontal="center"/>
    </xf>
    <xf numFmtId="0" fontId="117" fillId="0" borderId="0" xfId="0" applyFont="1"/>
    <xf numFmtId="0" fontId="94" fillId="0" borderId="0" xfId="0" applyFont="1"/>
    <xf numFmtId="1" fontId="20" fillId="0" borderId="0" xfId="0" applyNumberFormat="1" applyFont="1" applyAlignment="1">
      <alignment horizontal="center"/>
    </xf>
    <xf numFmtId="0" fontId="117" fillId="0" borderId="30" xfId="0" applyFont="1" applyBorder="1" applyAlignment="1">
      <alignment horizontal="center"/>
    </xf>
    <xf numFmtId="0" fontId="94" fillId="0" borderId="30" xfId="0" applyFont="1" applyBorder="1" applyAlignment="1">
      <alignment horizontal="center"/>
    </xf>
    <xf numFmtId="0" fontId="94" fillId="0" borderId="58" xfId="0" applyFont="1" applyBorder="1" applyAlignment="1">
      <alignment horizontal="center"/>
    </xf>
    <xf numFmtId="0" fontId="117" fillId="0" borderId="58" xfId="0" applyFont="1" applyBorder="1" applyAlignment="1">
      <alignment horizontal="center"/>
    </xf>
    <xf numFmtId="1" fontId="94" fillId="0" borderId="30" xfId="0" applyNumberFormat="1" applyFont="1" applyBorder="1" applyAlignment="1">
      <alignment horizontal="center"/>
    </xf>
    <xf numFmtId="0" fontId="0" fillId="0" borderId="14" xfId="0" applyBorder="1" applyAlignment="1">
      <alignment horizontal="center"/>
    </xf>
    <xf numFmtId="49" fontId="100" fillId="0" borderId="0" xfId="0" applyNumberFormat="1" applyFont="1" applyAlignment="1">
      <alignment horizontal="left" vertical="top" indent="2"/>
    </xf>
    <xf numFmtId="49" fontId="118" fillId="0" borderId="0" xfId="0" applyNumberFormat="1" applyFont="1" applyAlignment="1">
      <alignment horizontal="left" vertical="top" indent="2"/>
    </xf>
    <xf numFmtId="0" fontId="0" fillId="0" borderId="10" xfId="0" applyBorder="1" applyAlignment="1">
      <alignment horizontal="center"/>
    </xf>
    <xf numFmtId="170" fontId="9" fillId="0" borderId="10" xfId="34" applyBorder="1" applyAlignment="1">
      <alignment horizontal="center"/>
    </xf>
    <xf numFmtId="165" fontId="100" fillId="0" borderId="14" xfId="0" applyNumberFormat="1" applyFont="1" applyBorder="1" applyAlignment="1">
      <alignment horizontal="right" vertical="top"/>
    </xf>
    <xf numFmtId="43" fontId="95" fillId="0" borderId="14" xfId="1" applyFont="1" applyBorder="1" applyAlignment="1">
      <alignment horizontal="center"/>
    </xf>
    <xf numFmtId="0" fontId="0" fillId="0" borderId="13" xfId="0" applyBorder="1" applyAlignment="1">
      <alignment horizontal="center"/>
    </xf>
    <xf numFmtId="0" fontId="20" fillId="0" borderId="13" xfId="0" applyFont="1" applyBorder="1"/>
    <xf numFmtId="0" fontId="20" fillId="0" borderId="17" xfId="0" applyFont="1" applyBorder="1"/>
    <xf numFmtId="0" fontId="0" fillId="0" borderId="17" xfId="0" applyBorder="1" applyAlignment="1">
      <alignment horizontal="center"/>
    </xf>
    <xf numFmtId="170" fontId="9" fillId="0" borderId="17" xfId="34" applyBorder="1" applyAlignment="1">
      <alignment horizontal="center"/>
    </xf>
    <xf numFmtId="1" fontId="95" fillId="0" borderId="13" xfId="34" applyNumberFormat="1" applyFont="1" applyBorder="1" applyAlignment="1">
      <alignment horizontal="center"/>
    </xf>
    <xf numFmtId="0" fontId="21" fillId="0" borderId="0" xfId="0" applyFont="1"/>
    <xf numFmtId="0" fontId="117" fillId="0" borderId="0" xfId="0" applyFont="1" applyAlignment="1">
      <alignment horizontal="center"/>
    </xf>
    <xf numFmtId="168" fontId="10" fillId="0" borderId="4" xfId="4" applyNumberFormat="1" applyFont="1" applyBorder="1" applyAlignment="1">
      <alignment horizontal="center"/>
    </xf>
    <xf numFmtId="168" fontId="10" fillId="0" borderId="63" xfId="4" applyNumberFormat="1" applyFont="1" applyBorder="1" applyAlignment="1">
      <alignment horizontal="center"/>
    </xf>
    <xf numFmtId="168" fontId="10" fillId="0" borderId="93" xfId="4" applyNumberFormat="1" applyFont="1" applyBorder="1" applyAlignment="1">
      <alignment horizontal="center"/>
    </xf>
    <xf numFmtId="168" fontId="10" fillId="0" borderId="43" xfId="4" applyNumberFormat="1" applyFont="1" applyBorder="1" applyAlignment="1">
      <alignment horizontal="center"/>
    </xf>
    <xf numFmtId="168" fontId="10" fillId="0" borderId="42" xfId="0" applyNumberFormat="1" applyFont="1" applyBorder="1" applyAlignment="1">
      <alignment horizontal="center"/>
    </xf>
    <xf numFmtId="168" fontId="10" fillId="0" borderId="43" xfId="0" applyNumberFormat="1" applyFont="1" applyBorder="1" applyAlignment="1">
      <alignment horizontal="center"/>
    </xf>
    <xf numFmtId="164" fontId="12" fillId="0" borderId="86" xfId="1" applyNumberFormat="1" applyFont="1" applyFill="1" applyBorder="1" applyAlignment="1">
      <alignment horizontal="left" vertical="top" wrapText="1"/>
    </xf>
    <xf numFmtId="164" fontId="12" fillId="0" borderId="98" xfId="1" applyNumberFormat="1" applyFont="1" applyFill="1" applyBorder="1" applyAlignment="1">
      <alignment horizontal="left" vertical="top" wrapText="1"/>
    </xf>
    <xf numFmtId="164" fontId="10" fillId="0" borderId="80" xfId="1" applyNumberFormat="1" applyFont="1" applyFill="1" applyBorder="1" applyAlignment="1">
      <alignment horizontal="left" vertical="top"/>
    </xf>
    <xf numFmtId="164" fontId="10" fillId="0" borderId="87" xfId="1" applyNumberFormat="1" applyFont="1" applyFill="1" applyBorder="1" applyAlignment="1">
      <alignment horizontal="left" vertical="top"/>
    </xf>
    <xf numFmtId="164" fontId="11" fillId="0" borderId="80" xfId="1" applyNumberFormat="1" applyFont="1" applyFill="1" applyBorder="1" applyAlignment="1">
      <alignment horizontal="left"/>
    </xf>
    <xf numFmtId="164" fontId="11" fillId="0" borderId="87" xfId="1" applyNumberFormat="1" applyFont="1" applyFill="1" applyBorder="1" applyAlignment="1">
      <alignment horizontal="left"/>
    </xf>
    <xf numFmtId="0" fontId="11" fillId="0" borderId="94" xfId="4" applyNumberFormat="1" applyFont="1" applyBorder="1" applyAlignment="1">
      <alignment horizontal="left" vertical="top"/>
    </xf>
    <xf numFmtId="0" fontId="11" fillId="0" borderId="80" xfId="4" applyNumberFormat="1" applyFont="1" applyBorder="1" applyAlignment="1">
      <alignment horizontal="left" vertical="top"/>
    </xf>
    <xf numFmtId="0" fontId="2" fillId="0" borderId="76" xfId="0" applyFont="1" applyBorder="1" applyAlignment="1">
      <alignment horizontal="center" vertical="center" wrapText="1"/>
    </xf>
    <xf numFmtId="14" fontId="0" fillId="0" borderId="76" xfId="0" applyNumberFormat="1" applyBorder="1"/>
    <xf numFmtId="43" fontId="2" fillId="0" borderId="76" xfId="0" applyNumberFormat="1" applyFont="1" applyBorder="1"/>
    <xf numFmtId="43" fontId="2" fillId="0" borderId="76" xfId="1" applyFont="1" applyBorder="1"/>
    <xf numFmtId="14" fontId="0" fillId="0" borderId="0" xfId="0" applyNumberFormat="1" applyAlignment="1">
      <alignment horizontal="center"/>
    </xf>
    <xf numFmtId="164" fontId="10" fillId="0" borderId="76" xfId="1" applyNumberFormat="1" applyFont="1" applyFill="1" applyBorder="1" applyAlignment="1">
      <alignment horizontal="right"/>
    </xf>
    <xf numFmtId="0" fontId="10" fillId="0" borderId="76" xfId="4" applyNumberFormat="1" applyFont="1" applyBorder="1" applyAlignment="1">
      <alignment vertical="top"/>
    </xf>
    <xf numFmtId="1" fontId="10" fillId="0" borderId="76" xfId="4" applyNumberFormat="1" applyFont="1" applyBorder="1"/>
    <xf numFmtId="164" fontId="11" fillId="0" borderId="76" xfId="1" applyNumberFormat="1" applyFont="1" applyFill="1" applyBorder="1" applyAlignment="1">
      <alignment vertical="center"/>
    </xf>
    <xf numFmtId="9" fontId="10" fillId="0" borderId="76" xfId="3" applyFont="1" applyFill="1" applyBorder="1" applyAlignment="1">
      <alignment vertical="center" wrapText="1"/>
    </xf>
    <xf numFmtId="1" fontId="10" fillId="0" borderId="76" xfId="4" applyNumberFormat="1" applyFont="1" applyBorder="1" applyAlignment="1">
      <alignment vertical="center" wrapText="1"/>
    </xf>
    <xf numFmtId="164" fontId="10" fillId="0" borderId="76" xfId="1" applyNumberFormat="1" applyFont="1" applyFill="1" applyBorder="1" applyAlignment="1">
      <alignment vertical="center" wrapText="1"/>
    </xf>
    <xf numFmtId="164" fontId="11" fillId="0" borderId="76" xfId="1" applyNumberFormat="1" applyFont="1" applyFill="1" applyBorder="1" applyAlignment="1"/>
    <xf numFmtId="10" fontId="11" fillId="0" borderId="76" xfId="2" applyNumberFormat="1" applyFont="1" applyFill="1" applyBorder="1" applyAlignment="1"/>
    <xf numFmtId="179" fontId="11" fillId="0" borderId="76" xfId="2" applyNumberFormat="1" applyFont="1" applyFill="1" applyBorder="1" applyAlignment="1"/>
    <xf numFmtId="0" fontId="11" fillId="0" borderId="93" xfId="4" applyNumberFormat="1" applyFont="1" applyBorder="1" applyAlignment="1">
      <alignment vertical="top"/>
    </xf>
    <xf numFmtId="0" fontId="10" fillId="0" borderId="4" xfId="4" applyNumberFormat="1" applyFont="1" applyBorder="1" applyAlignment="1">
      <alignment horizontal="left"/>
    </xf>
    <xf numFmtId="0" fontId="10" fillId="0" borderId="81" xfId="0" applyFont="1" applyBorder="1"/>
    <xf numFmtId="43" fontId="11" fillId="0" borderId="88" xfId="1" applyFont="1" applyFill="1" applyBorder="1" applyAlignment="1">
      <alignment horizontal="center"/>
    </xf>
    <xf numFmtId="43" fontId="11" fillId="0" borderId="89" xfId="1" applyFont="1" applyFill="1" applyBorder="1" applyAlignment="1">
      <alignment horizontal="center"/>
    </xf>
    <xf numFmtId="9" fontId="11" fillId="0" borderId="42" xfId="3" applyFont="1" applyFill="1" applyBorder="1" applyAlignment="1">
      <alignment horizontal="left" vertical="top" wrapText="1"/>
    </xf>
    <xf numFmtId="9" fontId="11" fillId="0" borderId="43" xfId="3" applyFont="1" applyFill="1" applyBorder="1" applyAlignment="1">
      <alignment horizontal="left" vertical="top" wrapText="1"/>
    </xf>
    <xf numFmtId="0" fontId="11" fillId="0" borderId="42" xfId="0" applyFont="1" applyBorder="1" applyAlignment="1">
      <alignment horizontal="justify" vertical="top" wrapText="1"/>
    </xf>
    <xf numFmtId="43" fontId="20" fillId="0" borderId="14" xfId="0" applyNumberFormat="1" applyFont="1" applyBorder="1"/>
    <xf numFmtId="43" fontId="20" fillId="0" borderId="66" xfId="0" applyNumberFormat="1" applyFont="1" applyBorder="1"/>
    <xf numFmtId="43" fontId="23" fillId="0" borderId="14" xfId="1" applyFont="1" applyFill="1" applyBorder="1"/>
    <xf numFmtId="43" fontId="20" fillId="0" borderId="66" xfId="8" applyNumberFormat="1" applyFont="1" applyFill="1" applyBorder="1"/>
    <xf numFmtId="43" fontId="23" fillId="0" borderId="37" xfId="8" applyNumberFormat="1" applyFont="1" applyFill="1" applyBorder="1"/>
    <xf numFmtId="43" fontId="23" fillId="0" borderId="66" xfId="8" applyNumberFormat="1" applyFont="1" applyFill="1" applyBorder="1"/>
    <xf numFmtId="43" fontId="20" fillId="0" borderId="14" xfId="1" applyFont="1" applyFill="1" applyBorder="1" applyAlignment="1">
      <alignment horizontal="right"/>
    </xf>
    <xf numFmtId="43" fontId="23" fillId="0" borderId="14" xfId="1" applyFont="1" applyFill="1" applyBorder="1" applyAlignment="1">
      <alignment horizontal="right" wrapText="1"/>
    </xf>
    <xf numFmtId="43" fontId="0" fillId="0" borderId="13" xfId="1" applyFont="1" applyBorder="1"/>
    <xf numFmtId="43" fontId="23" fillId="0" borderId="37" xfId="0" applyNumberFormat="1" applyFont="1" applyBorder="1"/>
    <xf numFmtId="164" fontId="10" fillId="0" borderId="76" xfId="1" applyNumberFormat="1" applyFont="1" applyFill="1" applyBorder="1" applyAlignment="1">
      <alignment vertical="center"/>
    </xf>
    <xf numFmtId="164" fontId="10" fillId="0" borderId="79" xfId="1" applyNumberFormat="1" applyFont="1" applyFill="1" applyBorder="1" applyAlignment="1">
      <alignment horizontal="right"/>
    </xf>
    <xf numFmtId="164" fontId="10" fillId="0" borderId="83" xfId="1" applyNumberFormat="1" applyFont="1" applyFill="1" applyBorder="1" applyAlignment="1">
      <alignment horizontal="right"/>
    </xf>
    <xf numFmtId="10" fontId="11" fillId="0" borderId="77" xfId="2" applyNumberFormat="1" applyFont="1" applyFill="1" applyBorder="1" applyAlignment="1"/>
    <xf numFmtId="179" fontId="11" fillId="0" borderId="98" xfId="2" applyNumberFormat="1" applyFont="1" applyFill="1" applyBorder="1" applyAlignment="1"/>
    <xf numFmtId="1" fontId="10" fillId="0" borderId="86" xfId="4" applyNumberFormat="1" applyFont="1" applyBorder="1" applyAlignment="1">
      <alignment horizontal="center"/>
    </xf>
    <xf numFmtId="164" fontId="10" fillId="0" borderId="76" xfId="1" applyNumberFormat="1" applyFont="1" applyFill="1" applyBorder="1" applyAlignment="1"/>
    <xf numFmtId="164" fontId="10" fillId="0" borderId="76" xfId="1" applyNumberFormat="1" applyFont="1" applyFill="1" applyBorder="1"/>
    <xf numFmtId="164" fontId="1" fillId="0" borderId="76" xfId="36" applyNumberFormat="1" applyFont="1" applyFill="1" applyBorder="1" applyAlignment="1">
      <alignment vertical="center"/>
    </xf>
    <xf numFmtId="164" fontId="114" fillId="0" borderId="76" xfId="1" applyNumberFormat="1" applyFont="1" applyFill="1" applyBorder="1" applyAlignment="1">
      <alignment vertical="center"/>
    </xf>
    <xf numFmtId="164" fontId="10" fillId="0" borderId="76" xfId="1" applyNumberFormat="1" applyFont="1" applyFill="1" applyBorder="1" applyAlignment="1">
      <alignment horizontal="left" wrapText="1"/>
    </xf>
    <xf numFmtId="164" fontId="10" fillId="0" borderId="30" xfId="1" applyNumberFormat="1" applyFont="1" applyFill="1" applyBorder="1" applyAlignment="1">
      <alignment horizontal="left" wrapText="1"/>
    </xf>
    <xf numFmtId="164" fontId="10" fillId="0" borderId="34" xfId="1" applyNumberFormat="1" applyFont="1" applyFill="1" applyBorder="1" applyAlignment="1">
      <alignment horizontal="left" wrapText="1"/>
    </xf>
    <xf numFmtId="43" fontId="11" fillId="0" borderId="79" xfId="1" applyFont="1" applyFill="1" applyBorder="1" applyAlignment="1">
      <alignment horizontal="center"/>
    </xf>
    <xf numFmtId="43" fontId="11" fillId="0" borderId="83" xfId="1" applyFont="1" applyFill="1" applyBorder="1" applyAlignment="1">
      <alignment horizontal="center"/>
    </xf>
    <xf numFmtId="164" fontId="10" fillId="0" borderId="76" xfId="1" applyNumberFormat="1" applyFont="1" applyFill="1" applyBorder="1" applyAlignment="1">
      <alignment horizontal="center"/>
    </xf>
    <xf numFmtId="43" fontId="10" fillId="0" borderId="101" xfId="1" applyFont="1" applyFill="1" applyBorder="1" applyAlignment="1">
      <alignment horizontal="center"/>
    </xf>
    <xf numFmtId="9" fontId="11" fillId="0" borderId="42" xfId="3" applyFont="1" applyFill="1" applyBorder="1" applyAlignment="1">
      <alignment horizontal="center"/>
    </xf>
    <xf numFmtId="164" fontId="10" fillId="0" borderId="86" xfId="1" applyNumberFormat="1" applyFont="1" applyFill="1" applyBorder="1" applyAlignment="1">
      <alignment horizontal="right"/>
    </xf>
    <xf numFmtId="9" fontId="12" fillId="0" borderId="93" xfId="3" applyFont="1" applyFill="1" applyBorder="1" applyAlignment="1">
      <alignment horizontal="left"/>
    </xf>
    <xf numFmtId="170" fontId="2" fillId="0" borderId="14" xfId="0" applyNumberFormat="1" applyFont="1" applyBorder="1"/>
    <xf numFmtId="170" fontId="2" fillId="0" borderId="14" xfId="1" applyNumberFormat="1" applyFont="1" applyFill="1" applyBorder="1"/>
    <xf numFmtId="170" fontId="0" fillId="0" borderId="14" xfId="0" applyNumberFormat="1" applyBorder="1"/>
    <xf numFmtId="170" fontId="0" fillId="0" borderId="14" xfId="1" applyNumberFormat="1" applyFont="1" applyFill="1" applyBorder="1"/>
    <xf numFmtId="170" fontId="2" fillId="0" borderId="13" xfId="0" applyNumberFormat="1" applyFont="1" applyBorder="1"/>
    <xf numFmtId="164" fontId="0" fillId="0" borderId="76" xfId="1" applyNumberFormat="1" applyFont="1" applyFill="1" applyBorder="1"/>
    <xf numFmtId="10" fontId="76" fillId="0" borderId="0" xfId="2" applyNumberFormat="1" applyFont="1"/>
    <xf numFmtId="0" fontId="119" fillId="0" borderId="0" xfId="37" applyFont="1" applyAlignment="1">
      <alignment horizontal="center"/>
    </xf>
    <xf numFmtId="0" fontId="119" fillId="0" borderId="0" xfId="37" applyFont="1"/>
    <xf numFmtId="0" fontId="120" fillId="0" borderId="0" xfId="37" applyFont="1"/>
    <xf numFmtId="0" fontId="119" fillId="0" borderId="76" xfId="37" applyFont="1" applyBorder="1" applyAlignment="1">
      <alignment horizontal="center"/>
    </xf>
    <xf numFmtId="0" fontId="119" fillId="0" borderId="76" xfId="37" applyFont="1" applyBorder="1"/>
    <xf numFmtId="0" fontId="120" fillId="0" borderId="14" xfId="37" applyFont="1" applyBorder="1"/>
    <xf numFmtId="170" fontId="120" fillId="0" borderId="14" xfId="28" applyFont="1" applyBorder="1" applyAlignment="1"/>
    <xf numFmtId="170" fontId="120" fillId="0" borderId="10" xfId="28" applyFont="1" applyBorder="1" applyAlignment="1"/>
    <xf numFmtId="0" fontId="119" fillId="0" borderId="14" xfId="37" applyFont="1" applyBorder="1" applyAlignment="1">
      <alignment vertical="center" wrapText="1"/>
    </xf>
    <xf numFmtId="0" fontId="119" fillId="0" borderId="14" xfId="37" applyFont="1" applyBorder="1" applyAlignment="1">
      <alignment vertical="top" wrapText="1"/>
    </xf>
    <xf numFmtId="173" fontId="119" fillId="0" borderId="14" xfId="28" applyNumberFormat="1" applyFont="1" applyFill="1" applyBorder="1" applyAlignment="1">
      <alignment vertical="top" wrapText="1"/>
    </xf>
    <xf numFmtId="173" fontId="120" fillId="0" borderId="10" xfId="28" applyNumberFormat="1" applyFont="1" applyFill="1" applyBorder="1" applyAlignment="1">
      <alignment vertical="top" wrapText="1"/>
    </xf>
    <xf numFmtId="0" fontId="120" fillId="0" borderId="14" xfId="37" applyFont="1" applyBorder="1" applyAlignment="1">
      <alignment vertical="center"/>
    </xf>
    <xf numFmtId="0" fontId="120" fillId="0" borderId="14" xfId="37" applyFont="1" applyBorder="1" applyAlignment="1">
      <alignment vertical="top" wrapText="1"/>
    </xf>
    <xf numFmtId="164" fontId="120" fillId="0" borderId="14" xfId="1" applyNumberFormat="1" applyFont="1" applyFill="1" applyBorder="1" applyAlignment="1">
      <alignment vertical="top" wrapText="1"/>
    </xf>
    <xf numFmtId="164" fontId="120" fillId="0" borderId="10" xfId="1" applyNumberFormat="1" applyFont="1" applyFill="1" applyBorder="1" applyAlignment="1">
      <alignment vertical="top" wrapText="1"/>
    </xf>
    <xf numFmtId="173" fontId="120" fillId="0" borderId="14" xfId="28" applyNumberFormat="1" applyFont="1" applyFill="1" applyBorder="1" applyAlignment="1">
      <alignment vertical="top" wrapText="1"/>
    </xf>
    <xf numFmtId="173" fontId="120" fillId="0" borderId="14" xfId="28" applyNumberFormat="1" applyFont="1" applyBorder="1" applyAlignment="1">
      <alignment vertical="top"/>
    </xf>
    <xf numFmtId="173" fontId="120" fillId="0" borderId="14" xfId="28" applyNumberFormat="1" applyFont="1" applyBorder="1" applyAlignment="1">
      <alignment vertical="top" wrapText="1"/>
    </xf>
    <xf numFmtId="170" fontId="120" fillId="0" borderId="14" xfId="28" applyFont="1" applyFill="1" applyBorder="1" applyAlignment="1">
      <alignment vertical="top" wrapText="1"/>
    </xf>
    <xf numFmtId="0" fontId="120" fillId="0" borderId="14" xfId="37" applyFont="1" applyBorder="1" applyAlignment="1">
      <alignment vertical="center" wrapText="1"/>
    </xf>
    <xf numFmtId="173" fontId="120" fillId="0" borderId="10" xfId="28" applyNumberFormat="1" applyFont="1" applyBorder="1" applyAlignment="1">
      <alignment vertical="top"/>
    </xf>
    <xf numFmtId="0" fontId="120" fillId="0" borderId="14" xfId="37" applyFont="1" applyBorder="1" applyAlignment="1">
      <alignment vertical="top"/>
    </xf>
    <xf numFmtId="173" fontId="119" fillId="0" borderId="14" xfId="28" applyNumberFormat="1" applyFont="1" applyBorder="1" applyAlignment="1">
      <alignment vertical="top" wrapText="1"/>
    </xf>
    <xf numFmtId="173" fontId="120" fillId="0" borderId="10" xfId="28" applyNumberFormat="1" applyFont="1" applyBorder="1" applyAlignment="1">
      <alignment vertical="top" wrapText="1"/>
    </xf>
    <xf numFmtId="0" fontId="120" fillId="0" borderId="0" xfId="37" applyFont="1" applyAlignment="1">
      <alignment vertical="top"/>
    </xf>
    <xf numFmtId="10" fontId="120" fillId="0" borderId="14" xfId="2" applyNumberFormat="1" applyFont="1" applyFill="1" applyBorder="1" applyAlignment="1">
      <alignment vertical="top" wrapText="1"/>
    </xf>
    <xf numFmtId="173" fontId="120" fillId="3" borderId="10" xfId="28" applyNumberFormat="1" applyFont="1" applyFill="1" applyBorder="1" applyAlignment="1">
      <alignment vertical="top"/>
    </xf>
    <xf numFmtId="0" fontId="119" fillId="0" borderId="13" xfId="37" applyFont="1" applyBorder="1" applyAlignment="1">
      <alignment vertical="top" wrapText="1"/>
    </xf>
    <xf numFmtId="0" fontId="119" fillId="0" borderId="0" xfId="37" applyFont="1" applyAlignment="1">
      <alignment vertical="top"/>
    </xf>
    <xf numFmtId="173" fontId="119" fillId="0" borderId="0" xfId="28" applyNumberFormat="1" applyFont="1" applyAlignment="1">
      <alignment vertical="top"/>
    </xf>
    <xf numFmtId="0" fontId="119" fillId="3" borderId="14" xfId="37" applyFont="1" applyFill="1" applyBorder="1" applyAlignment="1">
      <alignment horizontal="center" vertical="center"/>
    </xf>
    <xf numFmtId="0" fontId="119" fillId="3" borderId="14" xfId="37" applyFont="1" applyFill="1" applyBorder="1" applyAlignment="1">
      <alignment vertical="center" wrapText="1"/>
    </xf>
    <xf numFmtId="0" fontId="119" fillId="3" borderId="14" xfId="37" applyFont="1" applyFill="1" applyBorder="1" applyAlignment="1">
      <alignment vertical="top" wrapText="1"/>
    </xf>
    <xf numFmtId="173" fontId="119" fillId="3" borderId="14" xfId="28" applyNumberFormat="1" applyFont="1" applyFill="1" applyBorder="1" applyAlignment="1">
      <alignment vertical="top" wrapText="1"/>
    </xf>
    <xf numFmtId="173" fontId="120" fillId="3" borderId="14" xfId="28" applyNumberFormat="1" applyFont="1" applyFill="1" applyBorder="1" applyAlignment="1">
      <alignment vertical="top"/>
    </xf>
    <xf numFmtId="0" fontId="120" fillId="3" borderId="14" xfId="37" applyFont="1" applyFill="1" applyBorder="1" applyAlignment="1">
      <alignment vertical="top"/>
    </xf>
    <xf numFmtId="0" fontId="120" fillId="3" borderId="0" xfId="37" applyFont="1" applyFill="1"/>
    <xf numFmtId="0" fontId="119" fillId="3" borderId="0" xfId="37" applyFont="1" applyFill="1" applyAlignment="1">
      <alignment vertical="top"/>
    </xf>
    <xf numFmtId="173" fontId="119" fillId="3" borderId="0" xfId="28" applyNumberFormat="1" applyFont="1" applyFill="1" applyAlignment="1">
      <alignment vertical="top" wrapText="1"/>
    </xf>
    <xf numFmtId="0" fontId="119" fillId="3" borderId="0" xfId="37" applyFont="1" applyFill="1" applyAlignment="1">
      <alignment vertical="top" wrapText="1"/>
    </xf>
    <xf numFmtId="0" fontId="119" fillId="0" borderId="13" xfId="37" applyFont="1" applyBorder="1" applyAlignment="1">
      <alignment horizontal="center"/>
    </xf>
    <xf numFmtId="0" fontId="120" fillId="0" borderId="13" xfId="37" applyFont="1" applyBorder="1" applyAlignment="1">
      <alignment vertical="top" wrapText="1"/>
    </xf>
    <xf numFmtId="170" fontId="120" fillId="0" borderId="13" xfId="28" applyFont="1" applyBorder="1" applyAlignment="1">
      <alignment vertical="top" wrapText="1"/>
    </xf>
    <xf numFmtId="0" fontId="120" fillId="0" borderId="17" xfId="37" applyFont="1" applyBorder="1"/>
    <xf numFmtId="0" fontId="120" fillId="0" borderId="13" xfId="37" applyFont="1" applyBorder="1"/>
    <xf numFmtId="0" fontId="119" fillId="0" borderId="0" xfId="37" applyFont="1" applyAlignment="1">
      <alignment vertical="top" wrapText="1"/>
    </xf>
    <xf numFmtId="0" fontId="119" fillId="0" borderId="0" xfId="37" applyFont="1" applyAlignment="1">
      <alignment horizontal="right"/>
    </xf>
    <xf numFmtId="0" fontId="120" fillId="0" borderId="0" xfId="11" applyFont="1"/>
    <xf numFmtId="0" fontId="121" fillId="0" borderId="0" xfId="37" applyFont="1"/>
    <xf numFmtId="0" fontId="120" fillId="0" borderId="0" xfId="37" applyFont="1" applyAlignment="1">
      <alignment horizontal="right"/>
    </xf>
    <xf numFmtId="0" fontId="120" fillId="0" borderId="0" xfId="37" applyFont="1" applyAlignment="1">
      <alignment horizontal="left" indent="4"/>
    </xf>
    <xf numFmtId="173" fontId="120" fillId="0" borderId="10" xfId="28" applyNumberFormat="1" applyFont="1" applyFill="1" applyBorder="1" applyAlignment="1">
      <alignment vertical="top"/>
    </xf>
    <xf numFmtId="170" fontId="120" fillId="0" borderId="7" xfId="28" applyFont="1" applyBorder="1" applyAlignment="1"/>
    <xf numFmtId="170" fontId="120" fillId="0" borderId="7" xfId="28" applyFont="1" applyFill="1" applyBorder="1" applyAlignment="1">
      <alignment vertical="top" wrapText="1"/>
    </xf>
    <xf numFmtId="173" fontId="120" fillId="0" borderId="7" xfId="28" applyNumberFormat="1" applyFont="1" applyFill="1" applyBorder="1" applyAlignment="1">
      <alignment vertical="top" wrapText="1"/>
    </xf>
    <xf numFmtId="173" fontId="120" fillId="0" borderId="7" xfId="28" applyNumberFormat="1" applyFont="1" applyBorder="1" applyAlignment="1">
      <alignment vertical="top"/>
    </xf>
    <xf numFmtId="173" fontId="120" fillId="0" borderId="7" xfId="28" applyNumberFormat="1" applyFont="1" applyBorder="1" applyAlignment="1">
      <alignment vertical="top" wrapText="1"/>
    </xf>
    <xf numFmtId="10" fontId="120" fillId="0" borderId="7" xfId="2" applyNumberFormat="1" applyFont="1" applyFill="1" applyBorder="1" applyAlignment="1">
      <alignment vertical="top" wrapText="1"/>
    </xf>
    <xf numFmtId="0" fontId="120" fillId="0" borderId="79" xfId="37" applyFont="1" applyBorder="1"/>
    <xf numFmtId="9" fontId="120" fillId="0" borderId="14" xfId="2" applyFont="1" applyBorder="1"/>
    <xf numFmtId="15" fontId="119" fillId="0" borderId="76" xfId="37" applyNumberFormat="1" applyFont="1" applyBorder="1" applyAlignment="1">
      <alignment horizontal="center"/>
    </xf>
    <xf numFmtId="168" fontId="10" fillId="0" borderId="4" xfId="4" applyNumberFormat="1" applyFont="1" applyBorder="1" applyAlignment="1">
      <alignment horizontal="left"/>
    </xf>
    <xf numFmtId="0" fontId="119" fillId="0" borderId="42" xfId="37" applyFont="1" applyBorder="1" applyAlignment="1">
      <alignment horizontal="left"/>
    </xf>
    <xf numFmtId="0" fontId="119" fillId="0" borderId="60" xfId="37" applyFont="1" applyBorder="1" applyAlignment="1">
      <alignment horizontal="center"/>
    </xf>
    <xf numFmtId="0" fontId="119" fillId="0" borderId="103" xfId="37" applyFont="1" applyBorder="1" applyAlignment="1">
      <alignment horizontal="center"/>
    </xf>
    <xf numFmtId="0" fontId="119" fillId="0" borderId="85" xfId="37" applyFont="1" applyBorder="1" applyAlignment="1">
      <alignment horizontal="center" vertical="center"/>
    </xf>
    <xf numFmtId="0" fontId="120" fillId="0" borderId="66" xfId="37" applyFont="1" applyBorder="1"/>
    <xf numFmtId="43" fontId="120" fillId="0" borderId="66" xfId="1" applyFont="1" applyBorder="1"/>
    <xf numFmtId="0" fontId="120" fillId="0" borderId="66" xfId="37" applyFont="1" applyBorder="1" applyAlignment="1">
      <alignment vertical="top"/>
    </xf>
    <xf numFmtId="0" fontId="120" fillId="0" borderId="0" xfId="11" applyFont="1" applyAlignment="1">
      <alignment wrapText="1"/>
    </xf>
    <xf numFmtId="0" fontId="119" fillId="0" borderId="56" xfId="37" applyFont="1" applyBorder="1" applyAlignment="1">
      <alignment horizontal="center" vertical="center"/>
    </xf>
    <xf numFmtId="0" fontId="119" fillId="0" borderId="88" xfId="37" applyFont="1" applyBorder="1" applyAlignment="1">
      <alignment vertical="center" wrapText="1"/>
    </xf>
    <xf numFmtId="0" fontId="120" fillId="0" borderId="88" xfId="37" applyFont="1" applyBorder="1" applyAlignment="1">
      <alignment vertical="top" wrapText="1"/>
    </xf>
    <xf numFmtId="173" fontId="120" fillId="0" borderId="88" xfId="28" applyNumberFormat="1" applyFont="1" applyBorder="1" applyAlignment="1">
      <alignment vertical="top" wrapText="1"/>
    </xf>
    <xf numFmtId="173" fontId="120" fillId="0" borderId="101" xfId="28" applyNumberFormat="1" applyFont="1" applyBorder="1" applyAlignment="1">
      <alignment vertical="top"/>
    </xf>
    <xf numFmtId="173" fontId="120" fillId="0" borderId="57" xfId="28" applyNumberFormat="1" applyFont="1" applyBorder="1" applyAlignment="1">
      <alignment vertical="top"/>
    </xf>
    <xf numFmtId="0" fontId="120" fillId="0" borderId="88" xfId="37" applyFont="1" applyBorder="1" applyAlignment="1">
      <alignment vertical="top"/>
    </xf>
    <xf numFmtId="0" fontId="120" fillId="0" borderId="88" xfId="37" applyFont="1" applyBorder="1"/>
    <xf numFmtId="0" fontId="120" fillId="0" borderId="89" xfId="37" applyFont="1" applyBorder="1"/>
    <xf numFmtId="164" fontId="10" fillId="0" borderId="63" xfId="1" applyNumberFormat="1" applyFont="1" applyFill="1" applyBorder="1" applyAlignment="1">
      <alignment horizontal="center"/>
    </xf>
    <xf numFmtId="0" fontId="117" fillId="0" borderId="79" xfId="11" applyFont="1" applyBorder="1"/>
    <xf numFmtId="0" fontId="117" fillId="0" borderId="78" xfId="11" applyFont="1" applyBorder="1"/>
    <xf numFmtId="0" fontId="117" fillId="0" borderId="86" xfId="11" applyFont="1" applyBorder="1"/>
    <xf numFmtId="0" fontId="117" fillId="0" borderId="102" xfId="11" applyFont="1" applyBorder="1" applyAlignment="1">
      <alignment horizontal="center"/>
    </xf>
    <xf numFmtId="0" fontId="117" fillId="0" borderId="79" xfId="11" applyFont="1" applyBorder="1" applyAlignment="1">
      <alignment horizontal="right"/>
    </xf>
    <xf numFmtId="0" fontId="117" fillId="0" borderId="71" xfId="11" applyFont="1" applyBorder="1"/>
    <xf numFmtId="0" fontId="117" fillId="0" borderId="69" xfId="11" applyFont="1" applyBorder="1"/>
    <xf numFmtId="0" fontId="117" fillId="0" borderId="73" xfId="11" applyFont="1" applyBorder="1"/>
    <xf numFmtId="0" fontId="117" fillId="0" borderId="73" xfId="11" applyFont="1" applyBorder="1" applyAlignment="1">
      <alignment horizontal="right"/>
    </xf>
    <xf numFmtId="0" fontId="117" fillId="0" borderId="71" xfId="11" applyFont="1" applyBorder="1" applyAlignment="1">
      <alignment horizontal="right"/>
    </xf>
    <xf numFmtId="0" fontId="117" fillId="0" borderId="14" xfId="11" applyFont="1" applyBorder="1"/>
    <xf numFmtId="0" fontId="117" fillId="0" borderId="0" xfId="11" applyFont="1"/>
    <xf numFmtId="0" fontId="126" fillId="0" borderId="10" xfId="11" applyFont="1" applyBorder="1"/>
    <xf numFmtId="9" fontId="117" fillId="0" borderId="10" xfId="11" applyNumberFormat="1" applyFont="1" applyBorder="1" applyAlignment="1">
      <alignment horizontal="right"/>
    </xf>
    <xf numFmtId="0" fontId="117" fillId="0" borderId="10" xfId="11" applyFont="1" applyBorder="1" applyAlignment="1">
      <alignment horizontal="right"/>
    </xf>
    <xf numFmtId="0" fontId="117" fillId="0" borderId="14" xfId="11" applyFont="1" applyBorder="1" applyAlignment="1">
      <alignment horizontal="right"/>
    </xf>
    <xf numFmtId="0" fontId="9" fillId="0" borderId="76" xfId="11" applyBorder="1"/>
    <xf numFmtId="0" fontId="84" fillId="0" borderId="13" xfId="11" applyFont="1" applyBorder="1" applyAlignment="1">
      <alignment horizontal="center"/>
    </xf>
    <xf numFmtId="0" fontId="84" fillId="0" borderId="4" xfId="11" applyFont="1" applyBorder="1" applyAlignment="1">
      <alignment horizontal="center"/>
    </xf>
    <xf numFmtId="0" fontId="84" fillId="0" borderId="17" xfId="11" applyFont="1" applyBorder="1"/>
    <xf numFmtId="0" fontId="9" fillId="0" borderId="13" xfId="11" applyBorder="1" applyAlignment="1">
      <alignment horizontal="right"/>
    </xf>
    <xf numFmtId="0" fontId="84" fillId="0" borderId="80" xfId="11" applyFont="1" applyBorder="1"/>
    <xf numFmtId="0" fontId="84" fillId="0" borderId="94" xfId="11" applyFont="1" applyBorder="1" applyAlignment="1">
      <alignment horizontal="center"/>
    </xf>
    <xf numFmtId="0" fontId="9" fillId="0" borderId="76" xfId="11" applyBorder="1" applyAlignment="1">
      <alignment horizontal="right"/>
    </xf>
    <xf numFmtId="1" fontId="9" fillId="0" borderId="76" xfId="11" applyNumberFormat="1" applyBorder="1"/>
    <xf numFmtId="0" fontId="70" fillId="0" borderId="80" xfId="11" applyFont="1" applyBorder="1"/>
    <xf numFmtId="0" fontId="84" fillId="0" borderId="102" xfId="11" applyFont="1" applyBorder="1" applyAlignment="1">
      <alignment horizontal="center"/>
    </xf>
    <xf numFmtId="0" fontId="84" fillId="0" borderId="76" xfId="11" applyFont="1" applyBorder="1" applyAlignment="1">
      <alignment horizontal="center"/>
    </xf>
    <xf numFmtId="0" fontId="117" fillId="0" borderId="10" xfId="11" applyFont="1" applyBorder="1"/>
    <xf numFmtId="9" fontId="117" fillId="0" borderId="76" xfId="11" applyNumberFormat="1" applyFont="1" applyBorder="1" applyAlignment="1">
      <alignment horizontal="right"/>
    </xf>
    <xf numFmtId="0" fontId="117" fillId="0" borderId="76" xfId="11" applyFont="1" applyBorder="1"/>
    <xf numFmtId="0" fontId="117" fillId="0" borderId="94" xfId="11" applyFont="1" applyBorder="1"/>
    <xf numFmtId="0" fontId="94" fillId="0" borderId="80" xfId="11" applyFont="1" applyBorder="1" applyAlignment="1">
      <alignment horizontal="right"/>
    </xf>
    <xf numFmtId="0" fontId="117" fillId="0" borderId="76" xfId="11" applyFont="1" applyBorder="1" applyAlignment="1">
      <alignment horizontal="right"/>
    </xf>
    <xf numFmtId="1" fontId="127" fillId="0" borderId="76" xfId="11" applyNumberFormat="1" applyFont="1" applyBorder="1" applyAlignment="1">
      <alignment horizontal="right"/>
    </xf>
    <xf numFmtId="0" fontId="94" fillId="0" borderId="0" xfId="11" applyFont="1" applyAlignment="1">
      <alignment horizontal="right"/>
    </xf>
    <xf numFmtId="0" fontId="117" fillId="0" borderId="0" xfId="11" applyFont="1" applyAlignment="1">
      <alignment horizontal="right"/>
    </xf>
    <xf numFmtId="1" fontId="127" fillId="0" borderId="0" xfId="11" applyNumberFormat="1" applyFont="1" applyAlignment="1">
      <alignment horizontal="right"/>
    </xf>
    <xf numFmtId="0" fontId="128" fillId="0" borderId="0" xfId="11" applyFont="1"/>
    <xf numFmtId="0" fontId="117" fillId="0" borderId="80" xfId="11" applyFont="1" applyBorder="1" applyAlignment="1">
      <alignment horizontal="center"/>
    </xf>
    <xf numFmtId="0" fontId="84" fillId="0" borderId="0" xfId="11" applyFont="1"/>
    <xf numFmtId="0" fontId="117" fillId="0" borderId="68" xfId="11" applyFont="1" applyBorder="1"/>
    <xf numFmtId="2" fontId="9" fillId="0" borderId="0" xfId="11" applyNumberFormat="1"/>
    <xf numFmtId="168" fontId="12" fillId="0" borderId="42" xfId="4" applyNumberFormat="1" applyFont="1" applyBorder="1" applyAlignment="1">
      <alignment wrapText="1"/>
    </xf>
    <xf numFmtId="43" fontId="9" fillId="0" borderId="0" xfId="1" applyFont="1"/>
    <xf numFmtId="43" fontId="117" fillId="0" borderId="76" xfId="1" applyFont="1" applyBorder="1"/>
    <xf numFmtId="168" fontId="11" fillId="0" borderId="10" xfId="4" applyNumberFormat="1" applyFont="1" applyBorder="1" applyAlignment="1">
      <alignment horizontal="left" wrapText="1"/>
    </xf>
    <xf numFmtId="0" fontId="10" fillId="0" borderId="77" xfId="4" applyNumberFormat="1" applyFont="1" applyBorder="1" applyAlignment="1">
      <alignment horizontal="left" vertical="center"/>
    </xf>
    <xf numFmtId="0" fontId="10" fillId="0" borderId="4" xfId="4" applyNumberFormat="1" applyFont="1" applyBorder="1" applyAlignment="1">
      <alignment horizontal="left" vertical="center"/>
    </xf>
    <xf numFmtId="168" fontId="15" fillId="0" borderId="77" xfId="4" applyNumberFormat="1" applyFont="1" applyBorder="1" applyAlignment="1">
      <alignment wrapText="1"/>
    </xf>
    <xf numFmtId="168" fontId="11" fillId="0" borderId="96" xfId="4" applyNumberFormat="1" applyFont="1" applyBorder="1" applyAlignment="1">
      <alignment wrapText="1"/>
    </xf>
    <xf numFmtId="168" fontId="11" fillId="0" borderId="42" xfId="4" applyNumberFormat="1" applyFont="1" applyBorder="1" applyAlignment="1">
      <alignment wrapText="1"/>
    </xf>
    <xf numFmtId="164" fontId="10" fillId="0" borderId="98" xfId="1" applyNumberFormat="1" applyFont="1" applyFill="1" applyBorder="1" applyAlignment="1">
      <alignment horizontal="center" vertical="center" wrapText="1"/>
    </xf>
    <xf numFmtId="164" fontId="11" fillId="0" borderId="79" xfId="1" applyNumberFormat="1" applyFont="1" applyFill="1" applyBorder="1" applyAlignment="1">
      <alignment wrapText="1"/>
    </xf>
    <xf numFmtId="164" fontId="11" fillId="0" borderId="14" xfId="1" applyNumberFormat="1" applyFont="1" applyFill="1" applyBorder="1" applyAlignment="1">
      <alignment wrapText="1"/>
    </xf>
    <xf numFmtId="164" fontId="11" fillId="0" borderId="98" xfId="1" applyNumberFormat="1" applyFont="1" applyFill="1" applyBorder="1" applyAlignment="1">
      <alignment wrapText="1"/>
    </xf>
    <xf numFmtId="164" fontId="11" fillId="0" borderId="43" xfId="1" applyNumberFormat="1" applyFont="1" applyFill="1" applyBorder="1" applyAlignment="1">
      <alignment wrapText="1"/>
    </xf>
    <xf numFmtId="0" fontId="12" fillId="0" borderId="42" xfId="0" applyFont="1" applyBorder="1" applyAlignment="1">
      <alignment horizontal="left" vertical="top" wrapText="1"/>
    </xf>
    <xf numFmtId="180" fontId="76" fillId="0" borderId="0" xfId="0" applyNumberFormat="1" applyFont="1"/>
    <xf numFmtId="0" fontId="120" fillId="0" borderId="66" xfId="37" applyFont="1" applyBorder="1" applyAlignment="1">
      <alignment wrapText="1"/>
    </xf>
    <xf numFmtId="173" fontId="119" fillId="0" borderId="14" xfId="28" applyNumberFormat="1" applyFont="1" applyBorder="1" applyAlignment="1">
      <alignment vertical="center" wrapText="1"/>
    </xf>
    <xf numFmtId="173" fontId="120" fillId="0" borderId="10" xfId="28" applyNumberFormat="1" applyFont="1" applyBorder="1" applyAlignment="1">
      <alignment vertical="center" wrapText="1"/>
    </xf>
    <xf numFmtId="170" fontId="120" fillId="0" borderId="7" xfId="28" applyFont="1" applyFill="1" applyBorder="1" applyAlignment="1">
      <alignment vertical="center" wrapText="1"/>
    </xf>
    <xf numFmtId="170" fontId="120" fillId="0" borderId="14" xfId="28" applyFont="1" applyFill="1" applyBorder="1" applyAlignment="1">
      <alignment vertical="center" wrapText="1"/>
    </xf>
    <xf numFmtId="9" fontId="120" fillId="0" borderId="14" xfId="2" applyFont="1" applyBorder="1" applyAlignment="1">
      <alignment vertical="center"/>
    </xf>
    <xf numFmtId="0" fontId="120" fillId="0" borderId="66" xfId="37" applyFont="1" applyBorder="1" applyAlignment="1">
      <alignment vertical="center" wrapText="1"/>
    </xf>
    <xf numFmtId="0" fontId="120" fillId="0" borderId="0" xfId="37" applyFont="1" applyAlignment="1">
      <alignment vertical="center"/>
    </xf>
    <xf numFmtId="0" fontId="120" fillId="0" borderId="66" xfId="37" applyFont="1" applyBorder="1" applyAlignment="1">
      <alignment vertical="top" wrapText="1"/>
    </xf>
    <xf numFmtId="0" fontId="119" fillId="0" borderId="85" xfId="37" applyFont="1" applyBorder="1" applyAlignment="1">
      <alignment horizontal="center" vertical="top"/>
    </xf>
    <xf numFmtId="9" fontId="120" fillId="0" borderId="14" xfId="2" applyFont="1" applyBorder="1" applyAlignment="1">
      <alignment vertical="top"/>
    </xf>
    <xf numFmtId="168" fontId="10" fillId="0" borderId="2" xfId="4" applyNumberFormat="1" applyFont="1" applyBorder="1"/>
    <xf numFmtId="168" fontId="10" fillId="0" borderId="3" xfId="4" applyNumberFormat="1" applyFont="1" applyBorder="1"/>
    <xf numFmtId="168" fontId="10" fillId="0" borderId="22" xfId="4" applyNumberFormat="1" applyFont="1" applyBorder="1"/>
    <xf numFmtId="168" fontId="10" fillId="0" borderId="42" xfId="4" applyNumberFormat="1" applyFont="1" applyBorder="1" applyAlignment="1">
      <alignment wrapText="1"/>
    </xf>
    <xf numFmtId="164" fontId="10" fillId="0" borderId="0" xfId="1" applyNumberFormat="1" applyFont="1" applyFill="1" applyBorder="1" applyAlignment="1">
      <alignment wrapText="1"/>
    </xf>
    <xf numFmtId="164" fontId="10" fillId="0" borderId="43" xfId="1" applyNumberFormat="1" applyFont="1" applyFill="1" applyBorder="1" applyAlignment="1">
      <alignment wrapText="1"/>
    </xf>
    <xf numFmtId="0" fontId="10" fillId="0" borderId="80" xfId="4" applyNumberFormat="1" applyFont="1" applyBorder="1" applyAlignment="1">
      <alignment vertical="top"/>
    </xf>
    <xf numFmtId="164" fontId="11" fillId="0" borderId="80" xfId="1" applyNumberFormat="1" applyFont="1" applyFill="1" applyBorder="1" applyAlignment="1">
      <alignment vertical="center"/>
    </xf>
    <xf numFmtId="0" fontId="0" fillId="0" borderId="80" xfId="0" applyBorder="1"/>
    <xf numFmtId="0" fontId="76" fillId="0" borderId="0" xfId="0" applyFont="1" applyAlignment="1">
      <alignment vertical="center"/>
    </xf>
    <xf numFmtId="164" fontId="0" fillId="0" borderId="0" xfId="1" applyNumberFormat="1" applyFont="1" applyAlignment="1">
      <alignment vertical="center"/>
    </xf>
    <xf numFmtId="168" fontId="15" fillId="0" borderId="77" xfId="4" applyNumberFormat="1" applyFont="1" applyBorder="1"/>
    <xf numFmtId="168" fontId="15" fillId="0" borderId="86" xfId="4" applyNumberFormat="1" applyFont="1" applyBorder="1"/>
    <xf numFmtId="168" fontId="15" fillId="0" borderId="4" xfId="4" applyNumberFormat="1" applyFont="1" applyBorder="1"/>
    <xf numFmtId="168" fontId="15" fillId="0" borderId="17" xfId="4" applyNumberFormat="1" applyFont="1" applyBorder="1"/>
    <xf numFmtId="1" fontId="11" fillId="0" borderId="94" xfId="4" applyNumberFormat="1" applyFont="1" applyBorder="1"/>
    <xf numFmtId="164" fontId="10" fillId="0" borderId="76" xfId="1" applyNumberFormat="1" applyFont="1" applyFill="1" applyBorder="1" applyAlignment="1">
      <alignment horizontal="center" vertical="center"/>
    </xf>
    <xf numFmtId="168" fontId="10" fillId="0" borderId="76" xfId="4" applyNumberFormat="1" applyFont="1" applyBorder="1" applyAlignment="1">
      <alignment horizontal="center"/>
    </xf>
    <xf numFmtId="15" fontId="10" fillId="0" borderId="76" xfId="37" applyNumberFormat="1" applyFont="1" applyBorder="1" applyAlignment="1">
      <alignment horizontal="center" vertical="center"/>
    </xf>
    <xf numFmtId="0" fontId="10" fillId="0" borderId="76" xfId="37" applyFont="1" applyBorder="1" applyAlignment="1">
      <alignment horizontal="center" vertical="center"/>
    </xf>
    <xf numFmtId="0" fontId="10" fillId="0" borderId="102" xfId="37" applyFont="1" applyBorder="1" applyAlignment="1">
      <alignment horizontal="center" vertical="center" wrapText="1"/>
    </xf>
    <xf numFmtId="0" fontId="11" fillId="0" borderId="14" xfId="37" applyFont="1" applyBorder="1"/>
    <xf numFmtId="170" fontId="11" fillId="0" borderId="7" xfId="28" applyFont="1" applyBorder="1" applyAlignment="1">
      <alignment vertical="center"/>
    </xf>
    <xf numFmtId="0" fontId="11" fillId="0" borderId="79" xfId="37" applyFont="1" applyBorder="1" applyAlignment="1">
      <alignment vertical="center"/>
    </xf>
    <xf numFmtId="0" fontId="11" fillId="0" borderId="14" xfId="37" applyFont="1" applyBorder="1" applyAlignment="1">
      <alignment vertical="center"/>
    </xf>
    <xf numFmtId="0" fontId="11" fillId="0" borderId="7" xfId="37" applyFont="1" applyBorder="1"/>
    <xf numFmtId="170" fontId="11" fillId="0" borderId="7" xfId="28" applyFont="1" applyFill="1" applyBorder="1" applyAlignment="1">
      <alignment vertical="center" wrapText="1"/>
    </xf>
    <xf numFmtId="170" fontId="11" fillId="0" borderId="14" xfId="28" applyFont="1" applyFill="1" applyBorder="1" applyAlignment="1">
      <alignment vertical="center" wrapText="1"/>
    </xf>
    <xf numFmtId="10" fontId="11" fillId="0" borderId="14" xfId="2" applyNumberFormat="1" applyFont="1" applyBorder="1" applyAlignment="1">
      <alignment vertical="center"/>
    </xf>
    <xf numFmtId="0" fontId="11" fillId="0" borderId="7" xfId="37" applyFont="1" applyBorder="1" applyAlignment="1">
      <alignment wrapText="1"/>
    </xf>
    <xf numFmtId="173" fontId="11" fillId="0" borderId="7" xfId="28" applyNumberFormat="1" applyFont="1" applyBorder="1" applyAlignment="1">
      <alignment vertical="center"/>
    </xf>
    <xf numFmtId="10" fontId="11" fillId="0" borderId="14" xfId="37" applyNumberFormat="1" applyFont="1" applyBorder="1" applyAlignment="1">
      <alignment vertical="center"/>
    </xf>
    <xf numFmtId="0" fontId="11" fillId="0" borderId="7" xfId="37" applyFont="1" applyBorder="1" applyAlignment="1">
      <alignment vertical="center" wrapText="1"/>
    </xf>
    <xf numFmtId="173" fontId="11" fillId="0" borderId="7" xfId="28" applyNumberFormat="1" applyFont="1" applyBorder="1" applyAlignment="1">
      <alignment vertical="center" wrapText="1"/>
    </xf>
    <xf numFmtId="10" fontId="11" fillId="0" borderId="7" xfId="2" applyNumberFormat="1" applyFont="1" applyFill="1" applyBorder="1" applyAlignment="1">
      <alignment vertical="center" wrapText="1"/>
    </xf>
    <xf numFmtId="43" fontId="11" fillId="0" borderId="7" xfId="1" applyFont="1" applyBorder="1"/>
    <xf numFmtId="173" fontId="11" fillId="0" borderId="14" xfId="28" applyNumberFormat="1" applyFont="1" applyBorder="1" applyAlignment="1">
      <alignment vertical="center"/>
    </xf>
    <xf numFmtId="164" fontId="10" fillId="0" borderId="103" xfId="1" applyNumberFormat="1" applyFont="1" applyFill="1" applyBorder="1" applyAlignment="1">
      <alignment horizontal="right"/>
    </xf>
    <xf numFmtId="0" fontId="11" fillId="0" borderId="94" xfId="4" applyNumberFormat="1" applyFont="1" applyBorder="1" applyAlignment="1">
      <alignment vertical="top"/>
    </xf>
    <xf numFmtId="164" fontId="10" fillId="0" borderId="80" xfId="1" applyNumberFormat="1" applyFont="1" applyFill="1" applyBorder="1" applyAlignment="1">
      <alignment horizontal="right"/>
    </xf>
    <xf numFmtId="0" fontId="0" fillId="0" borderId="94" xfId="0" applyBorder="1"/>
    <xf numFmtId="164" fontId="10" fillId="0" borderId="105" xfId="1" applyNumberFormat="1" applyFont="1" applyFill="1" applyBorder="1" applyAlignment="1">
      <alignment horizontal="right"/>
    </xf>
    <xf numFmtId="0" fontId="10" fillId="0" borderId="17" xfId="0" applyFont="1" applyBorder="1"/>
    <xf numFmtId="0" fontId="10" fillId="0" borderId="42" xfId="0" applyFont="1" applyBorder="1" applyAlignment="1">
      <alignment horizontal="left"/>
    </xf>
    <xf numFmtId="164" fontId="11" fillId="0" borderId="13" xfId="1" applyNumberFormat="1" applyFont="1" applyFill="1" applyBorder="1" applyAlignment="1">
      <alignment horizontal="left" vertical="center" wrapText="1"/>
    </xf>
    <xf numFmtId="164" fontId="11" fillId="0" borderId="35" xfId="1" applyNumberFormat="1" applyFont="1" applyFill="1" applyBorder="1" applyAlignment="1">
      <alignment horizontal="left" vertical="center" wrapText="1"/>
    </xf>
    <xf numFmtId="10" fontId="11" fillId="0" borderId="12" xfId="2" applyNumberFormat="1" applyFont="1" applyFill="1" applyBorder="1" applyAlignment="1">
      <alignment vertical="center" wrapText="1"/>
    </xf>
    <xf numFmtId="10" fontId="11" fillId="0" borderId="13" xfId="2" applyNumberFormat="1" applyFont="1" applyBorder="1" applyAlignment="1">
      <alignment vertical="center"/>
    </xf>
    <xf numFmtId="0" fontId="11" fillId="0" borderId="12" xfId="37" applyFont="1" applyBorder="1" applyAlignment="1">
      <alignment vertical="top" wrapText="1"/>
    </xf>
    <xf numFmtId="173" fontId="11" fillId="0" borderId="77" xfId="28" applyNumberFormat="1" applyFont="1" applyBorder="1" applyAlignment="1">
      <alignment vertical="top"/>
    </xf>
    <xf numFmtId="0" fontId="11" fillId="0" borderId="77" xfId="37" applyFont="1" applyBorder="1" applyAlignment="1">
      <alignment vertical="top"/>
    </xf>
    <xf numFmtId="0" fontId="11" fillId="0" borderId="77" xfId="37" applyFont="1" applyBorder="1"/>
    <xf numFmtId="0" fontId="11" fillId="0" borderId="77" xfId="37" applyFont="1" applyBorder="1" applyAlignment="1">
      <alignment vertical="top" wrapText="1"/>
    </xf>
    <xf numFmtId="0" fontId="11" fillId="0" borderId="98" xfId="37" applyFont="1" applyBorder="1" applyAlignment="1">
      <alignment vertical="top" wrapText="1"/>
    </xf>
    <xf numFmtId="0" fontId="11" fillId="0" borderId="14" xfId="37" applyFont="1" applyBorder="1" applyAlignment="1">
      <alignment horizontal="center" vertical="center" wrapText="1"/>
    </xf>
    <xf numFmtId="0" fontId="11" fillId="0" borderId="13" xfId="37" applyFont="1" applyBorder="1" applyAlignment="1">
      <alignment horizontal="center" vertical="center" wrapText="1"/>
    </xf>
    <xf numFmtId="164" fontId="10" fillId="0" borderId="103" xfId="1" applyNumberFormat="1" applyFont="1" applyFill="1" applyBorder="1" applyAlignment="1">
      <alignment vertical="center"/>
    </xf>
    <xf numFmtId="164" fontId="10" fillId="0" borderId="103" xfId="1" applyNumberFormat="1" applyFont="1" applyFill="1" applyBorder="1" applyAlignment="1">
      <alignment vertical="center" wrapText="1"/>
    </xf>
    <xf numFmtId="164" fontId="10" fillId="0" borderId="102" xfId="1" applyNumberFormat="1" applyFont="1" applyFill="1" applyBorder="1" applyAlignment="1">
      <alignment horizontal="right"/>
    </xf>
    <xf numFmtId="164" fontId="10" fillId="0" borderId="103" xfId="1" applyNumberFormat="1" applyFont="1" applyFill="1" applyBorder="1"/>
    <xf numFmtId="164" fontId="11" fillId="0" borderId="76" xfId="1" applyNumberFormat="1" applyFont="1" applyFill="1" applyBorder="1"/>
    <xf numFmtId="164" fontId="11" fillId="0" borderId="103" xfId="1" applyNumberFormat="1" applyFont="1" applyFill="1" applyBorder="1"/>
    <xf numFmtId="0" fontId="11" fillId="0" borderId="106" xfId="4" applyNumberFormat="1" applyFont="1" applyBorder="1" applyAlignment="1">
      <alignment vertical="top" wrapText="1"/>
    </xf>
    <xf numFmtId="164" fontId="11" fillId="0" borderId="103" xfId="1" applyNumberFormat="1" applyFont="1" applyFill="1" applyBorder="1" applyAlignment="1">
      <alignment vertical="center"/>
    </xf>
    <xf numFmtId="9" fontId="10" fillId="0" borderId="104" xfId="3" applyFont="1" applyFill="1" applyBorder="1" applyAlignment="1"/>
    <xf numFmtId="164" fontId="10" fillId="0" borderId="103" xfId="1" applyNumberFormat="1" applyFont="1" applyFill="1" applyBorder="1" applyAlignment="1">
      <alignment horizontal="center" vertical="center"/>
    </xf>
    <xf numFmtId="9" fontId="10" fillId="0" borderId="106" xfId="3" applyFont="1" applyFill="1" applyBorder="1" applyAlignment="1">
      <alignment vertical="center" wrapText="1"/>
    </xf>
    <xf numFmtId="9" fontId="11" fillId="0" borderId="106" xfId="3" applyFont="1" applyFill="1" applyBorder="1" applyAlignment="1"/>
    <xf numFmtId="10" fontId="11" fillId="0" borderId="103" xfId="2" applyNumberFormat="1" applyFont="1" applyFill="1" applyBorder="1" applyAlignment="1"/>
    <xf numFmtId="179" fontId="11" fillId="0" borderId="103" xfId="2" applyNumberFormat="1" applyFont="1" applyFill="1" applyBorder="1" applyAlignment="1"/>
    <xf numFmtId="9" fontId="11" fillId="0" borderId="104" xfId="3" applyFont="1" applyFill="1" applyBorder="1" applyAlignment="1"/>
    <xf numFmtId="164" fontId="10" fillId="0" borderId="103" xfId="1" applyNumberFormat="1" applyFont="1" applyFill="1" applyBorder="1" applyAlignment="1"/>
    <xf numFmtId="0" fontId="11" fillId="0" borderId="104" xfId="4" applyNumberFormat="1" applyFont="1" applyBorder="1" applyAlignment="1">
      <alignment vertical="top" wrapText="1"/>
    </xf>
    <xf numFmtId="0" fontId="11" fillId="0" borderId="104" xfId="4" applyNumberFormat="1" applyFont="1" applyBorder="1" applyAlignment="1">
      <alignment vertical="top"/>
    </xf>
    <xf numFmtId="0" fontId="11" fillId="0" borderId="104" xfId="4" applyNumberFormat="1" applyFont="1" applyBorder="1" applyAlignment="1">
      <alignment horizontal="left" vertical="top"/>
    </xf>
    <xf numFmtId="164" fontId="10" fillId="0" borderId="103" xfId="1" applyNumberFormat="1" applyFont="1" applyFill="1" applyBorder="1" applyAlignment="1">
      <alignment horizontal="left" wrapText="1"/>
    </xf>
    <xf numFmtId="164" fontId="10" fillId="0" borderId="100" xfId="1" applyNumberFormat="1" applyFont="1" applyFill="1" applyBorder="1" applyAlignment="1">
      <alignment horizontal="right"/>
    </xf>
    <xf numFmtId="164" fontId="10" fillId="0" borderId="103" xfId="1" applyNumberFormat="1" applyFont="1" applyFill="1" applyBorder="1" applyAlignment="1">
      <alignment horizontal="center"/>
    </xf>
    <xf numFmtId="164" fontId="10" fillId="0" borderId="76" xfId="1" applyNumberFormat="1" applyFont="1" applyFill="1" applyBorder="1" applyAlignment="1">
      <alignment vertical="top"/>
    </xf>
    <xf numFmtId="164" fontId="10" fillId="0" borderId="103" xfId="1" applyNumberFormat="1" applyFont="1" applyFill="1" applyBorder="1" applyAlignment="1">
      <alignment vertical="top"/>
    </xf>
    <xf numFmtId="168" fontId="15" fillId="0" borderId="93" xfId="4" applyNumberFormat="1" applyFont="1" applyBorder="1"/>
    <xf numFmtId="0" fontId="10" fillId="0" borderId="106" xfId="37" applyFont="1" applyBorder="1" applyAlignment="1">
      <alignment vertical="center"/>
    </xf>
    <xf numFmtId="0" fontId="10" fillId="0" borderId="103" xfId="37" applyFont="1" applyBorder="1" applyAlignment="1">
      <alignment horizontal="center" vertical="center"/>
    </xf>
    <xf numFmtId="0" fontId="11" fillId="0" borderId="85" xfId="37" applyFont="1" applyBorder="1"/>
    <xf numFmtId="0" fontId="11" fillId="0" borderId="66" xfId="37" applyFont="1" applyBorder="1"/>
    <xf numFmtId="0" fontId="10" fillId="0" borderId="85" xfId="37" applyFont="1" applyBorder="1" applyAlignment="1">
      <alignment vertical="center" wrapText="1"/>
    </xf>
    <xf numFmtId="0" fontId="11" fillId="0" borderId="66" xfId="37" applyFont="1" applyBorder="1" applyAlignment="1">
      <alignment horizontal="center" vertical="center" wrapText="1"/>
    </xf>
    <xf numFmtId="0" fontId="11" fillId="0" borderId="85" xfId="37" applyFont="1" applyBorder="1" applyAlignment="1">
      <alignment vertical="center" wrapText="1"/>
    </xf>
    <xf numFmtId="0" fontId="10" fillId="0" borderId="59" xfId="37" applyFont="1" applyBorder="1" applyAlignment="1">
      <alignment vertical="center" wrapText="1"/>
    </xf>
    <xf numFmtId="0" fontId="11" fillId="0" borderId="35" xfId="37" applyFont="1" applyBorder="1" applyAlignment="1">
      <alignment horizontal="center" vertical="center" wrapText="1"/>
    </xf>
    <xf numFmtId="0" fontId="10" fillId="0" borderId="42" xfId="37" applyFont="1" applyBorder="1" applyAlignment="1">
      <alignment vertical="center" wrapText="1"/>
    </xf>
    <xf numFmtId="167" fontId="10" fillId="0" borderId="42" xfId="3" applyNumberFormat="1" applyFont="1" applyFill="1" applyBorder="1" applyAlignment="1">
      <alignment horizontal="center"/>
    </xf>
    <xf numFmtId="167" fontId="10" fillId="0" borderId="0" xfId="3" applyNumberFormat="1" applyFont="1" applyFill="1" applyBorder="1" applyAlignment="1">
      <alignment horizontal="center"/>
    </xf>
    <xf numFmtId="0" fontId="10" fillId="0" borderId="42" xfId="0" applyFont="1" applyBorder="1" applyAlignment="1">
      <alignment horizontal="center" vertical="center" wrapText="1"/>
    </xf>
    <xf numFmtId="9" fontId="10" fillId="0" borderId="4" xfId="3" applyFont="1" applyFill="1" applyBorder="1" applyAlignment="1">
      <alignment horizontal="center"/>
    </xf>
    <xf numFmtId="0" fontId="10" fillId="0" borderId="4" xfId="0" applyFont="1" applyBorder="1" applyAlignment="1">
      <alignment horizontal="center" vertical="center" wrapText="1"/>
    </xf>
    <xf numFmtId="9" fontId="10" fillId="0" borderId="93" xfId="3" applyFont="1" applyFill="1" applyBorder="1" applyAlignment="1">
      <alignment horizontal="center"/>
    </xf>
    <xf numFmtId="0" fontId="10" fillId="0" borderId="93" xfId="0" applyFont="1" applyBorder="1" applyAlignment="1">
      <alignment horizontal="center" vertical="center" wrapText="1"/>
    </xf>
    <xf numFmtId="0" fontId="11" fillId="0" borderId="42" xfId="0" applyFont="1" applyBorder="1" applyAlignment="1">
      <alignment horizontal="left" wrapText="1"/>
    </xf>
    <xf numFmtId="43" fontId="11" fillId="0" borderId="14" xfId="1" applyFont="1" applyFill="1" applyBorder="1" applyAlignment="1">
      <alignment horizontal="right" vertical="top" wrapText="1"/>
    </xf>
    <xf numFmtId="43" fontId="11" fillId="0" borderId="66" xfId="1" applyFont="1" applyFill="1" applyBorder="1" applyAlignment="1">
      <alignment horizontal="right" vertical="top" wrapText="1"/>
    </xf>
    <xf numFmtId="43" fontId="10" fillId="0" borderId="16" xfId="1" applyFont="1" applyFill="1" applyBorder="1" applyAlignment="1">
      <alignment horizontal="right"/>
    </xf>
    <xf numFmtId="43" fontId="10" fillId="0" borderId="99" xfId="1" applyFont="1" applyFill="1" applyBorder="1" applyAlignment="1">
      <alignment horizontal="right"/>
    </xf>
    <xf numFmtId="43" fontId="11" fillId="0" borderId="14" xfId="1" applyFont="1" applyFill="1" applyBorder="1" applyAlignment="1"/>
    <xf numFmtId="43" fontId="11" fillId="0" borderId="66" xfId="1" applyFont="1" applyFill="1" applyBorder="1" applyAlignment="1"/>
    <xf numFmtId="43" fontId="11" fillId="0" borderId="13" xfId="1" applyFont="1" applyFill="1" applyBorder="1" applyAlignment="1"/>
    <xf numFmtId="43" fontId="11" fillId="0" borderId="35" xfId="1" applyFont="1" applyFill="1" applyBorder="1" applyAlignment="1"/>
    <xf numFmtId="43" fontId="10" fillId="0" borderId="14" xfId="1" applyFont="1" applyFill="1" applyBorder="1" applyAlignment="1">
      <alignment horizontal="right"/>
    </xf>
    <xf numFmtId="43" fontId="10" fillId="0" borderId="66" xfId="1" applyFont="1" applyFill="1" applyBorder="1" applyAlignment="1">
      <alignment horizontal="right"/>
    </xf>
    <xf numFmtId="43" fontId="11" fillId="0" borderId="14" xfId="1" applyFont="1" applyFill="1" applyBorder="1" applyAlignment="1">
      <alignment horizontal="right"/>
    </xf>
    <xf numFmtId="43" fontId="10" fillId="0" borderId="79" xfId="1" applyFont="1" applyFill="1" applyBorder="1" applyAlignment="1">
      <alignment horizontal="right"/>
    </xf>
    <xf numFmtId="43" fontId="10" fillId="0" borderId="83" xfId="1" applyFont="1" applyFill="1" applyBorder="1" applyAlignment="1">
      <alignment horizontal="right"/>
    </xf>
    <xf numFmtId="43" fontId="10" fillId="0" borderId="66" xfId="1" applyFont="1" applyFill="1" applyBorder="1" applyAlignment="1">
      <alignment horizontal="center"/>
    </xf>
    <xf numFmtId="43" fontId="11" fillId="0" borderId="13" xfId="1" applyFont="1" applyFill="1" applyBorder="1" applyAlignment="1">
      <alignment horizontal="right"/>
    </xf>
    <xf numFmtId="43" fontId="11" fillId="0" borderId="35" xfId="1" applyFont="1" applyFill="1" applyBorder="1" applyAlignment="1">
      <alignment horizontal="right"/>
    </xf>
    <xf numFmtId="43" fontId="10" fillId="0" borderId="76" xfId="1" applyFont="1" applyFill="1" applyBorder="1" applyAlignment="1">
      <alignment horizontal="right"/>
    </xf>
    <xf numFmtId="43" fontId="10" fillId="0" borderId="103" xfId="1" applyFont="1" applyFill="1" applyBorder="1" applyAlignment="1">
      <alignment horizontal="right"/>
    </xf>
    <xf numFmtId="43" fontId="11" fillId="0" borderId="14" xfId="1" applyFont="1" applyFill="1" applyBorder="1"/>
    <xf numFmtId="43" fontId="11" fillId="0" borderId="66" xfId="1" applyFont="1" applyFill="1" applyBorder="1"/>
    <xf numFmtId="43" fontId="11" fillId="0" borderId="14" xfId="1" applyFont="1" applyFill="1" applyBorder="1" applyAlignment="1">
      <alignment vertical="top"/>
    </xf>
    <xf numFmtId="43" fontId="11" fillId="0" borderId="66" xfId="1" applyFont="1" applyFill="1" applyBorder="1" applyAlignment="1">
      <alignment vertical="top"/>
    </xf>
    <xf numFmtId="43" fontId="10" fillId="0" borderId="76" xfId="1" applyFont="1" applyFill="1" applyBorder="1" applyAlignment="1">
      <alignment vertical="top"/>
    </xf>
    <xf numFmtId="43" fontId="10" fillId="0" borderId="103" xfId="1" applyFont="1" applyFill="1" applyBorder="1" applyAlignment="1">
      <alignment vertical="top"/>
    </xf>
    <xf numFmtId="43" fontId="10" fillId="0" borderId="13" xfId="1" applyFont="1" applyFill="1" applyBorder="1"/>
    <xf numFmtId="43" fontId="10" fillId="0" borderId="35" xfId="1" applyFont="1" applyFill="1" applyBorder="1"/>
    <xf numFmtId="43" fontId="10" fillId="0" borderId="76" xfId="1" applyFont="1" applyFill="1" applyBorder="1" applyAlignment="1">
      <alignment horizontal="center"/>
    </xf>
    <xf numFmtId="43" fontId="10" fillId="0" borderId="103" xfId="1" applyFont="1" applyFill="1" applyBorder="1" applyAlignment="1">
      <alignment horizontal="center"/>
    </xf>
    <xf numFmtId="43" fontId="11" fillId="0" borderId="14" xfId="1" applyFont="1" applyFill="1" applyBorder="1" applyAlignment="1">
      <alignment horizontal="justify" vertical="top" wrapText="1"/>
    </xf>
    <xf numFmtId="43" fontId="11" fillId="0" borderId="66" xfId="1" applyFont="1" applyFill="1" applyBorder="1" applyAlignment="1">
      <alignment horizontal="justify" vertical="top" wrapText="1"/>
    </xf>
    <xf numFmtId="43" fontId="11" fillId="0" borderId="13" xfId="1" applyFont="1" applyFill="1" applyBorder="1" applyAlignment="1">
      <alignment horizontal="left" vertical="top" wrapText="1"/>
    </xf>
    <xf numFmtId="43" fontId="11" fillId="0" borderId="35" xfId="1" applyFont="1" applyFill="1" applyBorder="1" applyAlignment="1">
      <alignment horizontal="left" vertical="top" wrapText="1"/>
    </xf>
    <xf numFmtId="43" fontId="10" fillId="0" borderId="14" xfId="1" applyFont="1" applyFill="1" applyBorder="1" applyAlignment="1"/>
    <xf numFmtId="43" fontId="10" fillId="0" borderId="66" xfId="1" applyFont="1" applyFill="1" applyBorder="1" applyAlignment="1"/>
    <xf numFmtId="43" fontId="11" fillId="0" borderId="14" xfId="1" applyFont="1" applyFill="1" applyBorder="1" applyAlignment="1">
      <alignment horizontal="left" vertical="top" wrapText="1"/>
    </xf>
    <xf numFmtId="43" fontId="11" fillId="0" borderId="66" xfId="1" applyFont="1" applyFill="1" applyBorder="1" applyAlignment="1">
      <alignment horizontal="left" vertical="top" wrapText="1"/>
    </xf>
    <xf numFmtId="43" fontId="10" fillId="0" borderId="76" xfId="1" applyFont="1" applyFill="1" applyBorder="1" applyAlignment="1"/>
    <xf numFmtId="43" fontId="10" fillId="0" borderId="103" xfId="1" applyFont="1" applyFill="1" applyBorder="1" applyAlignment="1"/>
    <xf numFmtId="43" fontId="10" fillId="0" borderId="76" xfId="1" applyFont="1" applyFill="1" applyBorder="1"/>
    <xf numFmtId="43" fontId="10" fillId="0" borderId="103" xfId="1" applyFont="1" applyFill="1" applyBorder="1"/>
    <xf numFmtId="43" fontId="11" fillId="0" borderId="13" xfId="1" applyFont="1" applyFill="1" applyBorder="1" applyAlignment="1">
      <alignment horizontal="center"/>
    </xf>
    <xf numFmtId="43" fontId="11" fillId="0" borderId="35" xfId="1" applyFont="1" applyFill="1" applyBorder="1" applyAlignment="1">
      <alignment horizontal="center"/>
    </xf>
    <xf numFmtId="43" fontId="10" fillId="0" borderId="13" xfId="1" applyFont="1" applyFill="1" applyBorder="1" applyAlignment="1">
      <alignment horizontal="center"/>
    </xf>
    <xf numFmtId="43" fontId="10" fillId="0" borderId="35" xfId="1" applyFont="1" applyFill="1" applyBorder="1" applyAlignment="1">
      <alignment horizontal="center"/>
    </xf>
    <xf numFmtId="43" fontId="11" fillId="0" borderId="14" xfId="1" applyFont="1" applyFill="1" applyBorder="1" applyAlignment="1">
      <alignment horizontal="left" wrapText="1"/>
    </xf>
    <xf numFmtId="43" fontId="11" fillId="0" borderId="66" xfId="1" applyFont="1" applyFill="1" applyBorder="1" applyAlignment="1">
      <alignment horizontal="left" wrapText="1"/>
    </xf>
    <xf numFmtId="43" fontId="11" fillId="0" borderId="7" xfId="1" applyFont="1" applyFill="1" applyBorder="1" applyAlignment="1"/>
    <xf numFmtId="43" fontId="11" fillId="0" borderId="76" xfId="1" applyFont="1" applyFill="1" applyBorder="1" applyAlignment="1">
      <alignment vertical="center"/>
    </xf>
    <xf numFmtId="43" fontId="11" fillId="0" borderId="14" xfId="1" applyFont="1" applyFill="1" applyBorder="1" applyAlignment="1">
      <alignment horizontal="right" vertical="center"/>
    </xf>
    <xf numFmtId="43" fontId="11" fillId="0" borderId="66" xfId="1" applyFont="1" applyFill="1" applyBorder="1" applyAlignment="1">
      <alignment horizontal="right" vertical="center"/>
    </xf>
    <xf numFmtId="43" fontId="11" fillId="0" borderId="10" xfId="1" applyFont="1" applyFill="1" applyBorder="1" applyAlignment="1"/>
    <xf numFmtId="43" fontId="11" fillId="0" borderId="43" xfId="1" applyFont="1" applyFill="1" applyBorder="1" applyAlignment="1"/>
    <xf numFmtId="43" fontId="11" fillId="0" borderId="7" xfId="1" applyFont="1" applyFill="1" applyBorder="1" applyAlignment="1">
      <alignment horizontal="right" vertical="top" wrapText="1"/>
    </xf>
    <xf numFmtId="43" fontId="11" fillId="0" borderId="79" xfId="1" applyFont="1" applyFill="1" applyBorder="1" applyAlignment="1">
      <alignment horizontal="right"/>
    </xf>
    <xf numFmtId="43" fontId="11" fillId="0" borderId="83" xfId="1" applyFont="1" applyFill="1" applyBorder="1" applyAlignment="1">
      <alignment horizontal="right"/>
    </xf>
    <xf numFmtId="43" fontId="10" fillId="0" borderId="76" xfId="1" applyFont="1" applyFill="1" applyBorder="1" applyAlignment="1">
      <alignment vertical="center" wrapText="1"/>
    </xf>
    <xf numFmtId="43" fontId="10" fillId="0" borderId="103" xfId="1" applyFont="1" applyFill="1" applyBorder="1" applyAlignment="1">
      <alignment vertical="center" wrapText="1"/>
    </xf>
    <xf numFmtId="43" fontId="11" fillId="0" borderId="66" xfId="1" applyFont="1" applyFill="1" applyBorder="1" applyAlignment="1">
      <alignment vertical="center" wrapText="1"/>
    </xf>
    <xf numFmtId="43" fontId="10" fillId="0" borderId="13" xfId="1" applyFont="1" applyFill="1" applyBorder="1" applyAlignment="1">
      <alignment vertical="center" wrapText="1"/>
    </xf>
    <xf numFmtId="43" fontId="10" fillId="0" borderId="35" xfId="1" applyFont="1" applyFill="1" applyBorder="1" applyAlignment="1">
      <alignment vertical="center" wrapText="1"/>
    </xf>
    <xf numFmtId="43" fontId="11" fillId="0" borderId="7" xfId="1" applyFont="1" applyFill="1" applyBorder="1" applyAlignment="1">
      <alignment horizontal="center"/>
    </xf>
    <xf numFmtId="43" fontId="10" fillId="0" borderId="102" xfId="1" applyFont="1" applyFill="1" applyBorder="1" applyAlignment="1">
      <alignment horizontal="right"/>
    </xf>
    <xf numFmtId="43" fontId="10" fillId="0" borderId="19" xfId="1" applyFont="1" applyFill="1" applyBorder="1" applyAlignment="1">
      <alignment vertical="center" wrapText="1"/>
    </xf>
    <xf numFmtId="43" fontId="10" fillId="0" borderId="99" xfId="1" applyFont="1" applyFill="1" applyBorder="1" applyAlignment="1">
      <alignment vertical="center" wrapText="1"/>
    </xf>
    <xf numFmtId="43" fontId="10" fillId="0" borderId="7" xfId="1" applyFont="1" applyFill="1" applyBorder="1" applyAlignment="1">
      <alignment horizontal="center"/>
    </xf>
    <xf numFmtId="43" fontId="11" fillId="0" borderId="13" xfId="1" applyFont="1" applyFill="1" applyBorder="1" applyAlignment="1">
      <alignment vertical="center" wrapText="1"/>
    </xf>
    <xf numFmtId="43" fontId="11" fillId="0" borderId="35" xfId="1" applyFont="1" applyFill="1" applyBorder="1" applyAlignment="1">
      <alignment vertical="center" wrapText="1"/>
    </xf>
    <xf numFmtId="43" fontId="10" fillId="0" borderId="16" xfId="1" applyFont="1" applyFill="1" applyBorder="1" applyAlignment="1">
      <alignment vertical="center" wrapText="1"/>
    </xf>
    <xf numFmtId="43" fontId="10" fillId="0" borderId="16" xfId="1" applyFont="1" applyFill="1" applyBorder="1"/>
    <xf numFmtId="43" fontId="10" fillId="0" borderId="99" xfId="1" applyFont="1" applyFill="1" applyBorder="1"/>
    <xf numFmtId="43" fontId="11" fillId="0" borderId="7" xfId="1" applyFont="1" applyFill="1" applyBorder="1"/>
    <xf numFmtId="43" fontId="11" fillId="0" borderId="79" xfId="1" applyFont="1" applyFill="1" applyBorder="1"/>
    <xf numFmtId="43" fontId="11" fillId="0" borderId="83" xfId="1" applyFont="1" applyFill="1" applyBorder="1"/>
    <xf numFmtId="43" fontId="10" fillId="0" borderId="14" xfId="1" applyFont="1" applyFill="1" applyBorder="1"/>
    <xf numFmtId="43" fontId="10" fillId="0" borderId="66" xfId="1" applyFont="1" applyFill="1" applyBorder="1"/>
    <xf numFmtId="43" fontId="11" fillId="0" borderId="13" xfId="1" applyFont="1" applyFill="1" applyBorder="1"/>
    <xf numFmtId="43" fontId="11" fillId="0" borderId="35" xfId="1" applyFont="1" applyFill="1" applyBorder="1"/>
    <xf numFmtId="43" fontId="10" fillId="0" borderId="7" xfId="1" applyFont="1" applyFill="1" applyBorder="1"/>
    <xf numFmtId="43" fontId="11" fillId="0" borderId="76" xfId="1" applyFont="1" applyFill="1" applyBorder="1"/>
    <xf numFmtId="43" fontId="11" fillId="0" borderId="103" xfId="1" applyFont="1" applyFill="1" applyBorder="1"/>
    <xf numFmtId="43" fontId="11" fillId="0" borderId="76" xfId="1" applyFont="1" applyFill="1" applyBorder="1" applyAlignment="1"/>
    <xf numFmtId="43" fontId="11" fillId="0" borderId="80" xfId="1" applyFont="1" applyFill="1" applyBorder="1" applyAlignment="1">
      <alignment vertical="center"/>
    </xf>
    <xf numFmtId="43" fontId="10" fillId="0" borderId="80" xfId="1" applyFont="1" applyFill="1" applyBorder="1" applyAlignment="1">
      <alignment horizontal="left" vertical="top"/>
    </xf>
    <xf numFmtId="43" fontId="11" fillId="0" borderId="13" xfId="1" applyFont="1" applyFill="1" applyBorder="1" applyAlignment="1">
      <alignment horizontal="left" vertical="center" wrapText="1"/>
    </xf>
    <xf numFmtId="43" fontId="11" fillId="0" borderId="35" xfId="1" applyFont="1" applyFill="1" applyBorder="1" applyAlignment="1">
      <alignment horizontal="left" vertical="center" wrapText="1"/>
    </xf>
    <xf numFmtId="43" fontId="11" fillId="0" borderId="79" xfId="1" applyFont="1" applyFill="1" applyBorder="1" applyAlignment="1">
      <alignment wrapText="1"/>
    </xf>
    <xf numFmtId="43" fontId="11" fillId="0" borderId="98" xfId="1" applyFont="1" applyFill="1" applyBorder="1" applyAlignment="1">
      <alignment wrapText="1"/>
    </xf>
    <xf numFmtId="43" fontId="11" fillId="0" borderId="14" xfId="1" applyFont="1" applyFill="1" applyBorder="1" applyAlignment="1">
      <alignment wrapText="1"/>
    </xf>
    <xf numFmtId="43" fontId="11" fillId="0" borderId="43" xfId="1" applyFont="1" applyFill="1" applyBorder="1" applyAlignment="1">
      <alignment wrapText="1"/>
    </xf>
    <xf numFmtId="43" fontId="10" fillId="0" borderId="43" xfId="1" applyFont="1" applyFill="1" applyBorder="1" applyAlignment="1">
      <alignment horizontal="center"/>
    </xf>
    <xf numFmtId="43" fontId="10" fillId="0" borderId="15" xfId="1" applyFont="1" applyFill="1" applyBorder="1" applyAlignment="1">
      <alignment vertical="center"/>
    </xf>
    <xf numFmtId="43" fontId="10" fillId="0" borderId="97" xfId="1" applyFont="1" applyFill="1" applyBorder="1" applyAlignment="1">
      <alignment vertical="center"/>
    </xf>
    <xf numFmtId="43" fontId="10" fillId="0" borderId="76" xfId="1" applyFont="1" applyFill="1" applyBorder="1" applyAlignment="1">
      <alignment vertical="center"/>
    </xf>
    <xf numFmtId="43" fontId="10" fillId="0" borderId="103" xfId="1" applyFont="1" applyFill="1" applyBorder="1" applyAlignment="1">
      <alignment vertical="center"/>
    </xf>
    <xf numFmtId="43" fontId="10" fillId="0" borderId="86" xfId="1" applyFont="1" applyFill="1" applyBorder="1" applyAlignment="1">
      <alignment vertical="center"/>
    </xf>
    <xf numFmtId="43" fontId="10" fillId="0" borderId="98" xfId="1" applyFont="1" applyFill="1" applyBorder="1" applyAlignment="1">
      <alignment vertical="center"/>
    </xf>
    <xf numFmtId="43" fontId="10" fillId="0" borderId="16" xfId="1" applyFont="1" applyFill="1" applyBorder="1" applyAlignment="1">
      <alignment vertical="center"/>
    </xf>
    <xf numFmtId="43" fontId="10" fillId="0" borderId="99" xfId="1" applyFont="1" applyFill="1" applyBorder="1" applyAlignment="1">
      <alignment vertical="center"/>
    </xf>
    <xf numFmtId="0" fontId="10" fillId="0" borderId="0" xfId="0" applyFont="1" applyAlignment="1">
      <alignment horizontal="center" vertical="center" wrapText="1"/>
    </xf>
    <xf numFmtId="168" fontId="10" fillId="0" borderId="0" xfId="4" applyNumberFormat="1" applyFont="1" applyAlignment="1">
      <alignment horizontal="center"/>
    </xf>
    <xf numFmtId="43" fontId="11" fillId="0" borderId="77" xfId="1" applyFont="1" applyFill="1" applyBorder="1" applyAlignment="1">
      <alignment horizontal="center"/>
    </xf>
    <xf numFmtId="43" fontId="11" fillId="0" borderId="77" xfId="1" applyFont="1" applyFill="1" applyBorder="1" applyAlignment="1"/>
    <xf numFmtId="43" fontId="11" fillId="0" borderId="77" xfId="1" applyFont="1" applyFill="1" applyBorder="1"/>
    <xf numFmtId="0" fontId="76" fillId="0" borderId="83" xfId="0" applyFont="1" applyBorder="1"/>
    <xf numFmtId="0" fontId="76" fillId="0" borderId="93" xfId="0" applyFont="1" applyBorder="1"/>
    <xf numFmtId="1" fontId="10" fillId="0" borderId="0" xfId="4" applyNumberFormat="1" applyFont="1"/>
    <xf numFmtId="1" fontId="11" fillId="0" borderId="0" xfId="4" applyNumberFormat="1" applyFont="1"/>
    <xf numFmtId="0" fontId="0" fillId="0" borderId="27" xfId="0" applyBorder="1"/>
    <xf numFmtId="0" fontId="0" fillId="0" borderId="90" xfId="0" applyBorder="1"/>
    <xf numFmtId="0" fontId="17" fillId="0" borderId="42" xfId="0" applyFont="1" applyBorder="1"/>
    <xf numFmtId="0" fontId="2" fillId="0" borderId="106" xfId="0" applyFont="1" applyBorder="1" applyAlignment="1">
      <alignment horizontal="center" vertical="center"/>
    </xf>
    <xf numFmtId="0" fontId="19" fillId="0" borderId="76" xfId="7" applyFont="1" applyFill="1" applyBorder="1" applyAlignment="1" applyProtection="1">
      <alignment horizontal="center" vertical="center" wrapText="1"/>
      <protection hidden="1"/>
    </xf>
    <xf numFmtId="0" fontId="2" fillId="0" borderId="103" xfId="0" applyFont="1" applyBorder="1" applyAlignment="1">
      <alignment horizontal="center" vertical="center"/>
    </xf>
    <xf numFmtId="0" fontId="2" fillId="0" borderId="85" xfId="0" applyFont="1" applyBorder="1"/>
    <xf numFmtId="170" fontId="0" fillId="0" borderId="43" xfId="0" applyNumberFormat="1" applyBorder="1"/>
    <xf numFmtId="0" fontId="0" fillId="0" borderId="85" xfId="0" applyBorder="1"/>
    <xf numFmtId="170" fontId="2" fillId="0" borderId="66" xfId="0" applyNumberFormat="1" applyFont="1" applyBorder="1"/>
    <xf numFmtId="0" fontId="2" fillId="0" borderId="106" xfId="0" applyFont="1" applyBorder="1"/>
    <xf numFmtId="170" fontId="2" fillId="0" borderId="76" xfId="0" applyNumberFormat="1" applyFont="1" applyBorder="1"/>
    <xf numFmtId="170" fontId="2" fillId="0" borderId="76" xfId="1" applyNumberFormat="1" applyFont="1" applyFill="1" applyBorder="1"/>
    <xf numFmtId="170" fontId="2" fillId="0" borderId="103" xfId="0" applyNumberFormat="1" applyFont="1" applyBorder="1"/>
    <xf numFmtId="170" fontId="0" fillId="0" borderId="66" xfId="0" applyNumberFormat="1" applyBorder="1"/>
    <xf numFmtId="0" fontId="2" fillId="0" borderId="82" xfId="0" applyFont="1" applyBorder="1"/>
    <xf numFmtId="170" fontId="2" fillId="0" borderId="79" xfId="0" applyNumberFormat="1" applyFont="1" applyBorder="1"/>
    <xf numFmtId="170" fontId="2" fillId="0" borderId="83" xfId="0" applyNumberFormat="1" applyFont="1" applyBorder="1"/>
    <xf numFmtId="0" fontId="2" fillId="0" borderId="59" xfId="0" applyFont="1" applyBorder="1"/>
    <xf numFmtId="170" fontId="2" fillId="0" borderId="35" xfId="0" applyNumberFormat="1" applyFont="1" applyBorder="1"/>
    <xf numFmtId="0" fontId="2" fillId="0" borderId="42" xfId="0" applyFont="1" applyBorder="1"/>
    <xf numFmtId="0" fontId="2" fillId="0" borderId="76" xfId="0" applyFont="1" applyBorder="1"/>
    <xf numFmtId="0" fontId="17" fillId="0" borderId="106" xfId="0" quotePrefix="1" applyFont="1" applyBorder="1"/>
    <xf numFmtId="0" fontId="0" fillId="0" borderId="106" xfId="0" applyBorder="1"/>
    <xf numFmtId="43" fontId="0" fillId="0" borderId="76" xfId="1" applyFont="1" applyFill="1" applyBorder="1"/>
    <xf numFmtId="164" fontId="2" fillId="0" borderId="76" xfId="0" applyNumberFormat="1" applyFont="1" applyBorder="1"/>
    <xf numFmtId="164" fontId="0" fillId="0" borderId="76" xfId="0" applyNumberFormat="1" applyBorder="1"/>
    <xf numFmtId="0" fontId="0" fillId="0" borderId="33" xfId="0" applyBorder="1"/>
    <xf numFmtId="43" fontId="0" fillId="0" borderId="30" xfId="1" applyFont="1" applyFill="1" applyBorder="1"/>
    <xf numFmtId="0" fontId="0" fillId="0" borderId="81" xfId="0" applyBorder="1"/>
    <xf numFmtId="0" fontId="0" fillId="0" borderId="95" xfId="0" applyBorder="1"/>
    <xf numFmtId="0" fontId="2" fillId="0" borderId="103" xfId="0" applyFont="1" applyBorder="1"/>
    <xf numFmtId="0" fontId="0" fillId="0" borderId="103" xfId="0" applyBorder="1"/>
    <xf numFmtId="43" fontId="0" fillId="0" borderId="103" xfId="1" applyFont="1" applyFill="1" applyBorder="1"/>
    <xf numFmtId="43" fontId="0" fillId="0" borderId="34" xfId="1" applyFont="1" applyFill="1" applyBorder="1"/>
    <xf numFmtId="164" fontId="2" fillId="0" borderId="103" xfId="0" applyNumberFormat="1" applyFont="1" applyBorder="1"/>
    <xf numFmtId="164" fontId="0" fillId="0" borderId="103" xfId="0" applyNumberFormat="1" applyBorder="1"/>
    <xf numFmtId="0" fontId="0" fillId="0" borderId="91" xfId="0" applyBorder="1"/>
    <xf numFmtId="168" fontId="15" fillId="0" borderId="0" xfId="4" applyNumberFormat="1" applyFont="1" applyAlignment="1">
      <alignment wrapText="1"/>
    </xf>
    <xf numFmtId="168" fontId="11" fillId="0" borderId="0" xfId="4" applyNumberFormat="1" applyFont="1"/>
    <xf numFmtId="168" fontId="11" fillId="0" borderId="0" xfId="4" applyNumberFormat="1" applyFont="1" applyAlignment="1">
      <alignment vertical="top"/>
    </xf>
    <xf numFmtId="0" fontId="11" fillId="0" borderId="0" xfId="0" applyFont="1" applyAlignment="1">
      <alignment vertical="center" wrapText="1"/>
    </xf>
    <xf numFmtId="1" fontId="10" fillId="0" borderId="0" xfId="4" applyNumberFormat="1" applyFont="1" applyAlignment="1">
      <alignment horizontal="left"/>
    </xf>
    <xf numFmtId="1" fontId="11" fillId="0" borderId="0" xfId="4" applyNumberFormat="1" applyFont="1" applyAlignment="1">
      <alignment horizontal="left"/>
    </xf>
    <xf numFmtId="0" fontId="11" fillId="0" borderId="0" xfId="0" applyFont="1"/>
    <xf numFmtId="0" fontId="11" fillId="0" borderId="0" xfId="0" applyFont="1" applyAlignment="1">
      <alignment vertical="top" wrapText="1"/>
    </xf>
    <xf numFmtId="0" fontId="11" fillId="0" borderId="0" xfId="0" applyFont="1" applyAlignment="1">
      <alignment horizontal="justify" vertical="top" wrapText="1"/>
    </xf>
    <xf numFmtId="0" fontId="11" fillId="0" borderId="0" xfId="0" applyFont="1" applyAlignment="1">
      <alignment horizontal="left" wrapText="1"/>
    </xf>
    <xf numFmtId="0" fontId="11" fillId="0" borderId="0" xfId="0" applyFont="1" applyAlignment="1">
      <alignment horizontal="center" vertical="center" wrapText="1"/>
    </xf>
    <xf numFmtId="0" fontId="11" fillId="0" borderId="0" xfId="0" applyFont="1" applyAlignment="1">
      <alignment horizontal="left" vertical="top" wrapText="1"/>
    </xf>
    <xf numFmtId="168" fontId="10" fillId="0" borderId="107" xfId="4" applyNumberFormat="1" applyFont="1" applyBorder="1" applyAlignment="1">
      <alignment wrapText="1"/>
    </xf>
    <xf numFmtId="168" fontId="15" fillId="0" borderId="105" xfId="4" applyNumberFormat="1" applyFont="1" applyBorder="1" applyAlignment="1">
      <alignment wrapText="1"/>
    </xf>
    <xf numFmtId="164" fontId="10" fillId="0" borderId="30" xfId="1" applyNumberFormat="1" applyFont="1" applyFill="1" applyBorder="1" applyAlignment="1">
      <alignment wrapText="1"/>
    </xf>
    <xf numFmtId="164" fontId="10" fillId="0" borderId="34" xfId="1" applyNumberFormat="1" applyFont="1" applyFill="1" applyBorder="1" applyAlignment="1">
      <alignment wrapText="1"/>
    </xf>
    <xf numFmtId="1" fontId="10" fillId="0" borderId="0" xfId="4" applyNumberFormat="1" applyFont="1" applyAlignment="1">
      <alignment horizontal="center"/>
    </xf>
    <xf numFmtId="0" fontId="10" fillId="0" borderId="0" xfId="0" applyFont="1" applyAlignment="1">
      <alignment vertical="center"/>
    </xf>
    <xf numFmtId="0" fontId="10"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0" fontId="13" fillId="0" borderId="0" xfId="0" applyFont="1"/>
    <xf numFmtId="0" fontId="14" fillId="0" borderId="0" xfId="0" applyFont="1"/>
    <xf numFmtId="0" fontId="10" fillId="0" borderId="0" xfId="0" applyFont="1"/>
    <xf numFmtId="0" fontId="11" fillId="0" borderId="0" xfId="4" applyNumberFormat="1" applyFont="1" applyAlignment="1">
      <alignment horizontal="justify" vertical="top" wrapText="1"/>
    </xf>
    <xf numFmtId="168" fontId="11" fillId="0" borderId="0" xfId="4" applyNumberFormat="1" applyFont="1" applyAlignment="1">
      <alignment horizontal="justify" vertical="top" wrapText="1"/>
    </xf>
    <xf numFmtId="0" fontId="11" fillId="0" borderId="0" xfId="4" applyNumberFormat="1" applyFont="1" applyAlignment="1">
      <alignment vertical="top"/>
    </xf>
    <xf numFmtId="0" fontId="10" fillId="0" borderId="0" xfId="4" applyNumberFormat="1" applyFont="1" applyAlignment="1">
      <alignment vertical="top"/>
    </xf>
    <xf numFmtId="0" fontId="12" fillId="0" borderId="0" xfId="0" applyFont="1" applyAlignment="1">
      <alignment horizontal="left" vertical="top" wrapText="1"/>
    </xf>
    <xf numFmtId="169" fontId="11" fillId="0" borderId="0" xfId="4" applyNumberFormat="1" applyFont="1" applyAlignment="1">
      <alignment vertical="top"/>
    </xf>
    <xf numFmtId="0" fontId="11" fillId="0" borderId="0" xfId="4" applyNumberFormat="1" applyFont="1" applyAlignment="1">
      <alignment horizontal="left"/>
    </xf>
    <xf numFmtId="1" fontId="11" fillId="0" borderId="0" xfId="4" applyNumberFormat="1" applyFont="1" applyAlignment="1">
      <alignment wrapText="1"/>
    </xf>
    <xf numFmtId="0" fontId="12" fillId="0" borderId="0" xfId="4" applyNumberFormat="1" applyFont="1"/>
    <xf numFmtId="0" fontId="11" fillId="0" borderId="0" xfId="4" applyNumberFormat="1" applyFont="1" applyAlignment="1">
      <alignment horizontal="left" vertical="top" wrapText="1"/>
    </xf>
    <xf numFmtId="0" fontId="11" fillId="0" borderId="0" xfId="4" applyNumberFormat="1" applyFont="1" applyAlignment="1">
      <alignment vertical="top" wrapText="1"/>
    </xf>
    <xf numFmtId="0" fontId="10" fillId="0" borderId="91" xfId="4" applyNumberFormat="1" applyFont="1" applyBorder="1" applyAlignment="1">
      <alignment horizontal="center"/>
    </xf>
    <xf numFmtId="0" fontId="10" fillId="0" borderId="81" xfId="4" applyNumberFormat="1" applyFont="1" applyBorder="1" applyAlignment="1">
      <alignment horizontal="center"/>
    </xf>
    <xf numFmtId="1" fontId="11" fillId="0" borderId="101" xfId="4" applyNumberFormat="1" applyFont="1" applyBorder="1"/>
    <xf numFmtId="164" fontId="10" fillId="0" borderId="30" xfId="1" applyNumberFormat="1" applyFont="1" applyFill="1" applyBorder="1" applyAlignment="1">
      <alignment horizontal="right"/>
    </xf>
    <xf numFmtId="164" fontId="10" fillId="0" borderId="34" xfId="1" applyNumberFormat="1" applyFont="1" applyFill="1" applyBorder="1" applyAlignment="1">
      <alignment horizontal="right"/>
    </xf>
    <xf numFmtId="169" fontId="11" fillId="0" borderId="0" xfId="4" applyNumberFormat="1" applyFont="1" applyAlignment="1">
      <alignment horizontal="justify" vertical="top" wrapText="1"/>
    </xf>
    <xf numFmtId="0" fontId="10" fillId="0" borderId="0" xfId="4" applyNumberFormat="1" applyFont="1" applyAlignment="1">
      <alignment horizontal="left"/>
    </xf>
    <xf numFmtId="0" fontId="10" fillId="0" borderId="0" xfId="4" applyNumberFormat="1" applyFont="1" applyAlignment="1">
      <alignment horizontal="left" vertical="top"/>
    </xf>
    <xf numFmtId="170" fontId="11" fillId="0" borderId="0" xfId="0" applyNumberFormat="1" applyFont="1"/>
    <xf numFmtId="168" fontId="10" fillId="0" borderId="0" xfId="0" applyNumberFormat="1" applyFont="1" applyAlignment="1">
      <alignment horizontal="center"/>
    </xf>
    <xf numFmtId="164" fontId="11" fillId="0" borderId="0" xfId="0" applyNumberFormat="1" applyFont="1"/>
    <xf numFmtId="169" fontId="11" fillId="0" borderId="0" xfId="0" applyNumberFormat="1" applyFont="1"/>
    <xf numFmtId="0" fontId="10" fillId="0" borderId="0" xfId="4" applyNumberFormat="1" applyFont="1" applyAlignment="1">
      <alignment horizontal="center"/>
    </xf>
    <xf numFmtId="164" fontId="10" fillId="0" borderId="109" xfId="1" applyNumberFormat="1" applyFont="1" applyFill="1" applyBorder="1" applyAlignment="1">
      <alignment horizontal="center"/>
    </xf>
    <xf numFmtId="164" fontId="10" fillId="0" borderId="110" xfId="1" applyNumberFormat="1" applyFont="1" applyFill="1" applyBorder="1" applyAlignment="1">
      <alignment horizontal="center"/>
    </xf>
    <xf numFmtId="168" fontId="10" fillId="0" borderId="0" xfId="4" applyNumberFormat="1" applyFont="1" applyAlignment="1">
      <alignment wrapText="1"/>
    </xf>
    <xf numFmtId="0" fontId="11" fillId="0" borderId="0" xfId="0" applyFont="1" applyAlignment="1">
      <alignment horizontal="justify" vertical="top"/>
    </xf>
    <xf numFmtId="0" fontId="10" fillId="0" borderId="0" xfId="0" applyFont="1" applyAlignment="1">
      <alignment horizontal="right"/>
    </xf>
    <xf numFmtId="43" fontId="10" fillId="0" borderId="30" xfId="1" applyFont="1" applyFill="1" applyBorder="1" applyAlignment="1">
      <alignment horizontal="right"/>
    </xf>
    <xf numFmtId="43" fontId="10" fillId="0" borderId="34" xfId="1" applyFont="1" applyFill="1" applyBorder="1" applyAlignment="1">
      <alignment horizontal="right"/>
    </xf>
    <xf numFmtId="43" fontId="10" fillId="0" borderId="30" xfId="1" applyFont="1" applyFill="1" applyBorder="1" applyAlignment="1">
      <alignment horizontal="center"/>
    </xf>
    <xf numFmtId="43" fontId="10" fillId="0" borderId="34" xfId="1" applyFont="1" applyFill="1" applyBorder="1" applyAlignment="1">
      <alignment horizontal="center"/>
    </xf>
    <xf numFmtId="43" fontId="10" fillId="0" borderId="30" xfId="1" applyFont="1" applyFill="1" applyBorder="1" applyAlignment="1">
      <alignment wrapText="1"/>
    </xf>
    <xf numFmtId="43" fontId="10" fillId="0" borderId="34" xfId="1" applyFont="1" applyFill="1" applyBorder="1" applyAlignment="1">
      <alignment wrapText="1"/>
    </xf>
    <xf numFmtId="1" fontId="10" fillId="0" borderId="76" xfId="4" applyNumberFormat="1" applyFont="1" applyBorder="1" applyAlignment="1">
      <alignment horizontal="center" vertical="center" wrapText="1"/>
    </xf>
    <xf numFmtId="164" fontId="10" fillId="0" borderId="76" xfId="1" applyNumberFormat="1" applyFont="1" applyFill="1" applyBorder="1" applyAlignment="1">
      <alignment horizontal="center" vertical="center" wrapText="1"/>
    </xf>
    <xf numFmtId="164" fontId="10" fillId="0" borderId="103" xfId="1" applyNumberFormat="1" applyFont="1" applyFill="1" applyBorder="1" applyAlignment="1">
      <alignment horizontal="center" vertical="center" wrapText="1"/>
    </xf>
    <xf numFmtId="169" fontId="10" fillId="0" borderId="78" xfId="1" applyNumberFormat="1" applyFont="1" applyFill="1" applyBorder="1" applyAlignment="1">
      <alignment horizontal="center" vertical="top" wrapText="1"/>
    </xf>
    <xf numFmtId="164" fontId="10" fillId="0" borderId="79" xfId="1" applyNumberFormat="1" applyFont="1" applyFill="1" applyBorder="1" applyAlignment="1">
      <alignment horizontal="center" vertical="top" wrapText="1"/>
    </xf>
    <xf numFmtId="169" fontId="10" fillId="0" borderId="12" xfId="1" applyNumberFormat="1" applyFont="1" applyFill="1" applyBorder="1" applyAlignment="1">
      <alignment horizontal="center" vertical="top" wrapText="1"/>
    </xf>
    <xf numFmtId="14" fontId="10" fillId="0" borderId="13" xfId="1" applyNumberFormat="1" applyFont="1" applyFill="1" applyBorder="1" applyAlignment="1">
      <alignment horizontal="center" vertical="top" wrapText="1"/>
    </xf>
    <xf numFmtId="169" fontId="10" fillId="0" borderId="35" xfId="1" applyNumberFormat="1" applyFont="1" applyFill="1" applyBorder="1" applyAlignment="1">
      <alignment horizontal="center" vertical="top" wrapText="1"/>
    </xf>
    <xf numFmtId="169" fontId="10" fillId="0" borderId="83" xfId="1" applyNumberFormat="1" applyFont="1" applyFill="1" applyBorder="1" applyAlignment="1">
      <alignment horizontal="center" vertical="top" wrapText="1"/>
    </xf>
    <xf numFmtId="14" fontId="10" fillId="0" borderId="13" xfId="1" applyNumberFormat="1" applyFont="1" applyFill="1" applyBorder="1" applyAlignment="1">
      <alignment horizontal="center"/>
    </xf>
    <xf numFmtId="164" fontId="10" fillId="0" borderId="86" xfId="1" applyNumberFormat="1" applyFont="1" applyFill="1" applyBorder="1" applyAlignment="1">
      <alignment horizontal="center" vertical="center" wrapText="1"/>
    </xf>
    <xf numFmtId="164" fontId="10" fillId="0" borderId="76" xfId="1" applyNumberFormat="1" applyFont="1" applyFill="1" applyBorder="1" applyAlignment="1">
      <alignment horizontal="left" vertical="center" wrapText="1"/>
    </xf>
    <xf numFmtId="164" fontId="10" fillId="0" borderId="103" xfId="1" applyNumberFormat="1" applyFont="1" applyFill="1" applyBorder="1" applyAlignment="1">
      <alignment horizontal="left" vertical="center" wrapText="1"/>
    </xf>
    <xf numFmtId="164" fontId="10" fillId="0" borderId="30" xfId="1" applyNumberFormat="1" applyFont="1" applyFill="1" applyBorder="1" applyAlignment="1">
      <alignment horizontal="left" vertical="center" wrapText="1"/>
    </xf>
    <xf numFmtId="164" fontId="10" fillId="0" borderId="34" xfId="1" applyNumberFormat="1" applyFont="1" applyFill="1" applyBorder="1" applyAlignment="1">
      <alignment horizontal="left" vertical="center" wrapText="1"/>
    </xf>
    <xf numFmtId="9" fontId="10" fillId="0" borderId="96" xfId="3" applyFont="1" applyFill="1" applyBorder="1" applyAlignment="1">
      <alignment horizontal="left"/>
    </xf>
    <xf numFmtId="43" fontId="10" fillId="0" borderId="13" xfId="1" applyFont="1" applyFill="1" applyBorder="1" applyAlignment="1">
      <alignment horizontal="right"/>
    </xf>
    <xf numFmtId="43" fontId="10" fillId="0" borderId="35" xfId="1" applyFont="1" applyFill="1" applyBorder="1" applyAlignment="1">
      <alignment horizontal="right"/>
    </xf>
    <xf numFmtId="43" fontId="10" fillId="0" borderId="0" xfId="1" applyFont="1" applyFill="1" applyBorder="1" applyAlignment="1">
      <alignment horizontal="right"/>
    </xf>
    <xf numFmtId="43" fontId="10" fillId="0" borderId="43" xfId="1" applyFont="1" applyFill="1" applyBorder="1" applyAlignment="1">
      <alignment horizontal="right"/>
    </xf>
    <xf numFmtId="164" fontId="11" fillId="0" borderId="4" xfId="1" applyNumberFormat="1" applyFont="1" applyFill="1" applyBorder="1" applyAlignment="1"/>
    <xf numFmtId="168" fontId="11" fillId="0" borderId="80" xfId="4" applyNumberFormat="1" applyFont="1" applyBorder="1"/>
    <xf numFmtId="0" fontId="21" fillId="0" borderId="21" xfId="0" applyFont="1" applyBorder="1"/>
    <xf numFmtId="14" fontId="10" fillId="0" borderId="79" xfId="4" applyNumberFormat="1" applyFont="1" applyBorder="1" applyAlignment="1">
      <alignment horizontal="center"/>
    </xf>
    <xf numFmtId="164" fontId="10" fillId="0" borderId="13" xfId="1" applyNumberFormat="1" applyFont="1" applyFill="1" applyBorder="1" applyAlignment="1">
      <alignment horizontal="center" vertical="center"/>
    </xf>
    <xf numFmtId="164" fontId="11" fillId="0" borderId="0" xfId="3" applyNumberFormat="1" applyFont="1" applyFill="1" applyBorder="1" applyAlignment="1">
      <alignment horizontal="right"/>
    </xf>
    <xf numFmtId="0" fontId="10" fillId="0" borderId="0" xfId="0" applyFont="1" applyAlignment="1">
      <alignment horizontal="center" vertical="center"/>
    </xf>
    <xf numFmtId="43" fontId="11" fillId="0" borderId="0" xfId="3" applyNumberFormat="1" applyFont="1" applyFill="1" applyBorder="1" applyAlignment="1">
      <alignment horizontal="right"/>
    </xf>
    <xf numFmtId="172" fontId="10" fillId="0" borderId="10" xfId="1" applyNumberFormat="1" applyFont="1" applyFill="1" applyBorder="1" applyAlignment="1">
      <alignment horizontal="center" vertical="center" wrapText="1"/>
    </xf>
    <xf numFmtId="168" fontId="22" fillId="0" borderId="21" xfId="25" applyNumberFormat="1" applyFont="1" applyBorder="1" applyAlignment="1">
      <alignment horizontal="center"/>
    </xf>
    <xf numFmtId="168" fontId="22" fillId="0" borderId="27" xfId="25" applyNumberFormat="1" applyFont="1" applyBorder="1" applyAlignment="1">
      <alignment horizontal="center"/>
    </xf>
    <xf numFmtId="168" fontId="22" fillId="0" borderId="90" xfId="25" applyNumberFormat="1" applyFont="1" applyBorder="1" applyAlignment="1">
      <alignment horizontal="center"/>
    </xf>
    <xf numFmtId="168" fontId="22" fillId="0" borderId="42" xfId="25" applyNumberFormat="1" applyFont="1" applyBorder="1" applyAlignment="1">
      <alignment horizontal="center"/>
    </xf>
    <xf numFmtId="168" fontId="22" fillId="0" borderId="0" xfId="25" applyNumberFormat="1" applyFont="1" applyAlignment="1">
      <alignment horizontal="center"/>
    </xf>
    <xf numFmtId="168" fontId="22" fillId="0" borderId="43" xfId="25" applyNumberFormat="1" applyFont="1" applyBorder="1" applyAlignment="1">
      <alignment horizontal="center"/>
    </xf>
    <xf numFmtId="0" fontId="20" fillId="0" borderId="42" xfId="0" applyFont="1" applyBorder="1" applyAlignment="1">
      <alignment horizontal="left" vertical="top" wrapText="1"/>
    </xf>
    <xf numFmtId="0" fontId="20" fillId="0" borderId="0" xfId="0" applyFont="1" applyAlignment="1">
      <alignment horizontal="left" vertical="top" wrapText="1"/>
    </xf>
    <xf numFmtId="0" fontId="20" fillId="0" borderId="43" xfId="0" applyFont="1" applyBorder="1" applyAlignment="1">
      <alignment horizontal="left" vertical="top" wrapText="1"/>
    </xf>
    <xf numFmtId="168" fontId="10" fillId="0" borderId="0" xfId="4" applyNumberFormat="1" applyFont="1" applyAlignment="1">
      <alignment horizontal="right" wrapText="1"/>
    </xf>
    <xf numFmtId="168" fontId="10" fillId="0" borderId="43" xfId="4" applyNumberFormat="1" applyFont="1" applyBorder="1" applyAlignment="1">
      <alignment horizontal="right" wrapText="1"/>
    </xf>
    <xf numFmtId="9" fontId="10" fillId="0" borderId="93" xfId="3" applyFont="1" applyFill="1" applyBorder="1" applyAlignment="1">
      <alignment horizontal="center"/>
    </xf>
    <xf numFmtId="9" fontId="10" fillId="0" borderId="4" xfId="3" applyFont="1" applyFill="1" applyBorder="1" applyAlignment="1">
      <alignment horizontal="center"/>
    </xf>
    <xf numFmtId="9" fontId="10" fillId="0" borderId="63" xfId="3" applyFont="1" applyFill="1" applyBorder="1" applyAlignment="1">
      <alignment horizontal="center"/>
    </xf>
    <xf numFmtId="168" fontId="10" fillId="0" borderId="21" xfId="4" applyNumberFormat="1" applyFont="1" applyBorder="1" applyAlignment="1">
      <alignment horizontal="center"/>
    </xf>
    <xf numFmtId="168" fontId="10" fillId="0" borderId="27" xfId="4" applyNumberFormat="1" applyFont="1" applyBorder="1" applyAlignment="1">
      <alignment horizontal="center"/>
    </xf>
    <xf numFmtId="168" fontId="10" fillId="0" borderId="90" xfId="4" applyNumberFormat="1" applyFont="1" applyBorder="1" applyAlignment="1">
      <alignment horizontal="center"/>
    </xf>
    <xf numFmtId="168" fontId="10" fillId="0" borderId="93" xfId="4" applyNumberFormat="1" applyFont="1" applyBorder="1" applyAlignment="1">
      <alignment horizontal="center"/>
    </xf>
    <xf numFmtId="168" fontId="10" fillId="0" borderId="4" xfId="4" applyNumberFormat="1" applyFont="1" applyBorder="1" applyAlignment="1">
      <alignment horizontal="center"/>
    </xf>
    <xf numFmtId="168" fontId="10" fillId="0" borderId="63" xfId="4" applyNumberFormat="1" applyFont="1" applyBorder="1" applyAlignment="1">
      <alignment horizontal="center"/>
    </xf>
    <xf numFmtId="0" fontId="11" fillId="0" borderId="42" xfId="4" applyNumberFormat="1" applyFont="1" applyBorder="1" applyAlignment="1">
      <alignment horizontal="left" vertical="top" wrapText="1"/>
    </xf>
    <xf numFmtId="0" fontId="11" fillId="0" borderId="0" xfId="4" applyNumberFormat="1" applyFont="1" applyAlignment="1">
      <alignment horizontal="left" vertical="top" wrapText="1"/>
    </xf>
    <xf numFmtId="0" fontId="11" fillId="0" borderId="42" xfId="0" applyFont="1" applyBorder="1" applyAlignment="1">
      <alignment horizontal="left" vertical="top" wrapText="1"/>
    </xf>
    <xf numFmtId="0" fontId="11" fillId="0" borderId="0" xfId="0" applyFont="1" applyAlignment="1">
      <alignment horizontal="left" vertical="top" wrapText="1"/>
    </xf>
    <xf numFmtId="0" fontId="11" fillId="0" borderId="43" xfId="0" applyFont="1" applyBorder="1" applyAlignment="1">
      <alignment horizontal="left" vertical="top" wrapText="1"/>
    </xf>
    <xf numFmtId="0" fontId="11" fillId="0" borderId="42" xfId="4" applyNumberFormat="1" applyFont="1" applyBorder="1" applyAlignment="1">
      <alignment horizontal="left" wrapText="1"/>
    </xf>
    <xf numFmtId="0" fontId="11" fillId="0" borderId="0" xfId="4" applyNumberFormat="1" applyFont="1" applyAlignment="1">
      <alignment horizontal="left" wrapText="1"/>
    </xf>
    <xf numFmtId="0" fontId="11" fillId="0" borderId="43" xfId="4" applyNumberFormat="1" applyFont="1" applyBorder="1" applyAlignment="1">
      <alignment horizontal="left" wrapText="1"/>
    </xf>
    <xf numFmtId="0" fontId="11" fillId="0" borderId="91" xfId="4" applyNumberFormat="1" applyFont="1" applyBorder="1" applyAlignment="1">
      <alignment horizontal="left" wrapText="1"/>
    </xf>
    <xf numFmtId="0" fontId="11" fillId="0" borderId="81" xfId="4" applyNumberFormat="1" applyFont="1" applyBorder="1" applyAlignment="1">
      <alignment horizontal="left" wrapText="1"/>
    </xf>
    <xf numFmtId="0" fontId="11" fillId="0" borderId="95" xfId="4" applyNumberFormat="1" applyFont="1" applyBorder="1" applyAlignment="1">
      <alignment horizontal="left" wrapText="1"/>
    </xf>
    <xf numFmtId="9" fontId="10" fillId="0" borderId="21" xfId="3" applyFont="1" applyFill="1" applyBorder="1" applyAlignment="1">
      <alignment horizontal="center"/>
    </xf>
    <xf numFmtId="9" fontId="10" fillId="0" borderId="27" xfId="3" applyFont="1" applyFill="1" applyBorder="1" applyAlignment="1">
      <alignment horizontal="center"/>
    </xf>
    <xf numFmtId="9" fontId="10" fillId="0" borderId="90" xfId="3" applyFont="1" applyFill="1" applyBorder="1" applyAlignment="1">
      <alignment horizontal="center"/>
    </xf>
    <xf numFmtId="168" fontId="11" fillId="0" borderId="42" xfId="4" applyNumberFormat="1" applyFont="1" applyBorder="1" applyAlignment="1">
      <alignment horizontal="left" wrapText="1"/>
    </xf>
    <xf numFmtId="168" fontId="11" fillId="0" borderId="0" xfId="4" applyNumberFormat="1" applyFont="1" applyAlignment="1">
      <alignment horizontal="left" wrapText="1"/>
    </xf>
    <xf numFmtId="168" fontId="10" fillId="0" borderId="42" xfId="4" applyNumberFormat="1" applyFont="1" applyBorder="1" applyAlignment="1">
      <alignment horizontal="center"/>
    </xf>
    <xf numFmtId="168" fontId="10" fillId="0" borderId="0" xfId="4" applyNumberFormat="1" applyFont="1" applyAlignment="1">
      <alignment horizontal="center"/>
    </xf>
    <xf numFmtId="168" fontId="10" fillId="0" borderId="43" xfId="4" applyNumberFormat="1" applyFont="1" applyBorder="1" applyAlignment="1">
      <alignment horizontal="center"/>
    </xf>
    <xf numFmtId="0" fontId="11" fillId="0" borderId="42" xfId="0" applyFont="1" applyBorder="1" applyAlignment="1">
      <alignment horizontal="left" wrapText="1"/>
    </xf>
    <xf numFmtId="0" fontId="11" fillId="0" borderId="0" xfId="0" applyFont="1" applyAlignment="1">
      <alignment horizontal="left" wrapText="1"/>
    </xf>
    <xf numFmtId="0" fontId="11" fillId="0" borderId="93" xfId="0" applyFont="1" applyBorder="1" applyAlignment="1">
      <alignment horizontal="left" wrapText="1"/>
    </xf>
    <xf numFmtId="0" fontId="11" fillId="0" borderId="4" xfId="0" applyFont="1" applyBorder="1" applyAlignment="1">
      <alignment horizontal="left" wrapText="1"/>
    </xf>
    <xf numFmtId="0" fontId="11" fillId="0" borderId="17" xfId="0" applyFont="1" applyBorder="1" applyAlignment="1">
      <alignment horizontal="left" wrapText="1"/>
    </xf>
    <xf numFmtId="0" fontId="10" fillId="0" borderId="0" xfId="0" applyFont="1" applyAlignment="1">
      <alignment horizontal="center" vertical="center"/>
    </xf>
    <xf numFmtId="9" fontId="11" fillId="0" borderId="42" xfId="3" applyFont="1" applyFill="1" applyBorder="1" applyAlignment="1">
      <alignment horizontal="left" wrapText="1"/>
    </xf>
    <xf numFmtId="9" fontId="11" fillId="0" borderId="0" xfId="3" applyFont="1" applyFill="1" applyBorder="1" applyAlignment="1">
      <alignment horizontal="left" wrapText="1"/>
    </xf>
    <xf numFmtId="9" fontId="11" fillId="0" borderId="43" xfId="3" applyFont="1" applyFill="1" applyBorder="1" applyAlignment="1">
      <alignment horizontal="left" wrapText="1"/>
    </xf>
    <xf numFmtId="9" fontId="11" fillId="0" borderId="42" xfId="3" applyFont="1" applyFill="1" applyBorder="1" applyAlignment="1">
      <alignment horizontal="left" vertical="top" wrapText="1"/>
    </xf>
    <xf numFmtId="9" fontId="11" fillId="0" borderId="0" xfId="3" applyFont="1" applyFill="1" applyBorder="1" applyAlignment="1">
      <alignment horizontal="left" vertical="top" wrapText="1"/>
    </xf>
    <xf numFmtId="9" fontId="11" fillId="0" borderId="43" xfId="3" applyFont="1" applyFill="1" applyBorder="1" applyAlignment="1">
      <alignment horizontal="left" vertical="top" wrapText="1"/>
    </xf>
    <xf numFmtId="9" fontId="11" fillId="0" borderId="107" xfId="3" applyFont="1" applyFill="1" applyBorder="1" applyAlignment="1">
      <alignment horizontal="center"/>
    </xf>
    <xf numFmtId="9" fontId="11" fillId="0" borderId="105" xfId="3" applyFont="1" applyFill="1" applyBorder="1" applyAlignment="1">
      <alignment horizontal="center"/>
    </xf>
    <xf numFmtId="9" fontId="11" fillId="0" borderId="108" xfId="3" applyFont="1" applyFill="1" applyBorder="1" applyAlignment="1">
      <alignment horizontal="center"/>
    </xf>
    <xf numFmtId="9" fontId="10" fillId="0" borderId="42" xfId="3" applyFont="1" applyFill="1" applyBorder="1" applyAlignment="1">
      <alignment horizontal="center"/>
    </xf>
    <xf numFmtId="9" fontId="10" fillId="0" borderId="0" xfId="3" applyFont="1" applyFill="1" applyBorder="1" applyAlignment="1">
      <alignment horizontal="center"/>
    </xf>
    <xf numFmtId="9" fontId="10" fillId="0" borderId="43" xfId="3" applyFont="1" applyFill="1" applyBorder="1" applyAlignment="1">
      <alignment horizontal="center"/>
    </xf>
    <xf numFmtId="9" fontId="10" fillId="0" borderId="42" xfId="3" applyFont="1" applyFill="1" applyBorder="1" applyAlignment="1">
      <alignment horizontal="left" wrapText="1"/>
    </xf>
    <xf numFmtId="9" fontId="10" fillId="0" borderId="0" xfId="3" applyFont="1" applyFill="1" applyBorder="1" applyAlignment="1">
      <alignment horizontal="left" wrapText="1"/>
    </xf>
    <xf numFmtId="9" fontId="10" fillId="0" borderId="43" xfId="3" applyFont="1" applyFill="1" applyBorder="1" applyAlignment="1">
      <alignment horizontal="left" wrapText="1"/>
    </xf>
    <xf numFmtId="9" fontId="11" fillId="0" borderId="10" xfId="3" applyFont="1" applyFill="1" applyBorder="1" applyAlignment="1">
      <alignment horizontal="left" wrapText="1"/>
    </xf>
    <xf numFmtId="9" fontId="10" fillId="0" borderId="10" xfId="3" applyFont="1" applyFill="1" applyBorder="1" applyAlignment="1">
      <alignment horizontal="left" wrapText="1"/>
    </xf>
    <xf numFmtId="9" fontId="11" fillId="0" borderId="104" xfId="3" applyFont="1" applyFill="1" applyBorder="1" applyAlignment="1">
      <alignment horizontal="center"/>
    </xf>
    <xf numFmtId="9" fontId="11" fillId="0" borderId="94" xfId="3" applyFont="1" applyFill="1" applyBorder="1" applyAlignment="1">
      <alignment horizontal="center"/>
    </xf>
    <xf numFmtId="9" fontId="11" fillId="0" borderId="80" xfId="3" applyFont="1" applyFill="1" applyBorder="1" applyAlignment="1">
      <alignment horizontal="center"/>
    </xf>
    <xf numFmtId="0" fontId="10" fillId="0" borderId="33" xfId="4" applyNumberFormat="1" applyFont="1" applyBorder="1" applyAlignment="1">
      <alignment horizontal="left" vertical="top" wrapText="1"/>
    </xf>
    <xf numFmtId="0" fontId="10" fillId="0" borderId="30" xfId="4" applyNumberFormat="1" applyFont="1" applyBorder="1" applyAlignment="1">
      <alignment horizontal="left" vertical="top" wrapText="1"/>
    </xf>
    <xf numFmtId="168" fontId="10" fillId="0" borderId="21" xfId="0" applyNumberFormat="1" applyFont="1" applyBorder="1" applyAlignment="1">
      <alignment horizontal="center"/>
    </xf>
    <xf numFmtId="168" fontId="10" fillId="0" borderId="27" xfId="0" applyNumberFormat="1" applyFont="1" applyBorder="1" applyAlignment="1">
      <alignment horizontal="center"/>
    </xf>
    <xf numFmtId="168" fontId="10" fillId="0" borderId="90" xfId="0" applyNumberFormat="1" applyFont="1" applyBorder="1" applyAlignment="1">
      <alignment horizontal="center"/>
    </xf>
    <xf numFmtId="168" fontId="10" fillId="0" borderId="42" xfId="0" applyNumberFormat="1" applyFont="1" applyBorder="1" applyAlignment="1">
      <alignment horizontal="center"/>
    </xf>
    <xf numFmtId="168" fontId="10" fillId="0" borderId="0" xfId="0" applyNumberFormat="1" applyFont="1" applyAlignment="1">
      <alignment horizontal="center"/>
    </xf>
    <xf numFmtId="168" fontId="10" fillId="0" borderId="43" xfId="0" applyNumberFormat="1" applyFont="1" applyBorder="1" applyAlignment="1">
      <alignment horizontal="center"/>
    </xf>
    <xf numFmtId="0" fontId="12" fillId="0" borderId="106" xfId="4" applyNumberFormat="1" applyFont="1" applyBorder="1" applyAlignment="1">
      <alignment horizontal="left" vertical="center" wrapText="1"/>
    </xf>
    <xf numFmtId="0" fontId="12" fillId="0" borderId="76" xfId="4" applyNumberFormat="1" applyFont="1" applyBorder="1" applyAlignment="1">
      <alignment horizontal="left" vertical="center" wrapText="1"/>
    </xf>
    <xf numFmtId="0" fontId="11" fillId="0" borderId="104" xfId="4" applyNumberFormat="1" applyFont="1" applyBorder="1" applyAlignment="1">
      <alignment horizontal="left" vertical="top"/>
    </xf>
    <xf numFmtId="0" fontId="11" fillId="0" borderId="94" xfId="4" applyNumberFormat="1" applyFont="1" applyBorder="1" applyAlignment="1">
      <alignment horizontal="left" vertical="top"/>
    </xf>
    <xf numFmtId="0" fontId="11" fillId="0" borderId="80" xfId="4" applyNumberFormat="1" applyFont="1" applyBorder="1" applyAlignment="1">
      <alignment horizontal="left" vertical="top"/>
    </xf>
    <xf numFmtId="0" fontId="10" fillId="0" borderId="106" xfId="4" applyNumberFormat="1" applyFont="1" applyBorder="1" applyAlignment="1">
      <alignment horizontal="left" vertical="top" wrapText="1"/>
    </xf>
    <xf numFmtId="0" fontId="10" fillId="0" borderId="76" xfId="4" applyNumberFormat="1" applyFont="1" applyBorder="1" applyAlignment="1">
      <alignment horizontal="left" vertical="top" wrapText="1"/>
    </xf>
    <xf numFmtId="9" fontId="12" fillId="0" borderId="42" xfId="3" applyFont="1" applyFill="1" applyBorder="1" applyAlignment="1">
      <alignment horizontal="left" vertical="top" wrapText="1"/>
    </xf>
    <xf numFmtId="9" fontId="12" fillId="0" borderId="0" xfId="3" applyFont="1" applyFill="1" applyBorder="1" applyAlignment="1">
      <alignment horizontal="left" vertical="top" wrapText="1"/>
    </xf>
    <xf numFmtId="0" fontId="11" fillId="0" borderId="42" xfId="4" applyNumberFormat="1" applyFont="1" applyBorder="1" applyAlignment="1">
      <alignment horizontal="justify" vertical="top" wrapText="1"/>
    </xf>
    <xf numFmtId="0" fontId="11" fillId="0" borderId="0" xfId="4" applyNumberFormat="1" applyFont="1" applyAlignment="1">
      <alignment horizontal="justify" vertical="top" wrapText="1"/>
    </xf>
    <xf numFmtId="0" fontId="11" fillId="0" borderId="43" xfId="4" applyNumberFormat="1" applyFont="1" applyBorder="1" applyAlignment="1">
      <alignment horizontal="left" vertical="top" wrapText="1"/>
    </xf>
    <xf numFmtId="0" fontId="10" fillId="0" borderId="104" xfId="4" applyNumberFormat="1" applyFont="1" applyBorder="1" applyAlignment="1">
      <alignment horizontal="left" vertical="center"/>
    </xf>
    <xf numFmtId="0" fontId="11" fillId="0" borderId="10" xfId="4" applyNumberFormat="1" applyFont="1" applyBorder="1" applyAlignment="1">
      <alignment horizontal="left" vertical="top" wrapText="1"/>
    </xf>
    <xf numFmtId="0" fontId="10" fillId="0" borderId="106" xfId="4" applyNumberFormat="1" applyFont="1" applyBorder="1" applyAlignment="1">
      <alignment horizontal="left" vertical="center"/>
    </xf>
    <xf numFmtId="0" fontId="10" fillId="0" borderId="76" xfId="4" applyNumberFormat="1" applyFont="1" applyBorder="1" applyAlignment="1">
      <alignment horizontal="left" vertical="center"/>
    </xf>
    <xf numFmtId="0" fontId="0" fillId="0" borderId="86" xfId="0" applyBorder="1" applyAlignment="1">
      <alignment horizontal="center"/>
    </xf>
    <xf numFmtId="0" fontId="0" fillId="0" borderId="17" xfId="0" applyBorder="1" applyAlignment="1">
      <alignment horizontal="center"/>
    </xf>
    <xf numFmtId="168" fontId="10" fillId="0" borderId="102" xfId="4" applyNumberFormat="1" applyFont="1" applyBorder="1" applyAlignment="1">
      <alignment horizontal="center"/>
    </xf>
    <xf numFmtId="168" fontId="10" fillId="0" borderId="94" xfId="4" applyNumberFormat="1" applyFont="1" applyBorder="1" applyAlignment="1">
      <alignment horizontal="center"/>
    </xf>
    <xf numFmtId="168" fontId="10" fillId="0" borderId="87" xfId="4" applyNumberFormat="1" applyFont="1" applyBorder="1" applyAlignment="1">
      <alignment horizontal="center"/>
    </xf>
    <xf numFmtId="164" fontId="11" fillId="0" borderId="76" xfId="1" applyNumberFormat="1" applyFont="1" applyFill="1" applyBorder="1" applyAlignment="1">
      <alignment horizontal="center"/>
    </xf>
    <xf numFmtId="9" fontId="10" fillId="0" borderId="76" xfId="3" applyFont="1" applyFill="1" applyBorder="1" applyAlignment="1">
      <alignment horizontal="center" vertical="center" wrapText="1"/>
    </xf>
    <xf numFmtId="167" fontId="10" fillId="0" borderId="21" xfId="3" applyNumberFormat="1" applyFont="1" applyFill="1" applyBorder="1" applyAlignment="1">
      <alignment horizontal="center"/>
    </xf>
    <xf numFmtId="167" fontId="10" fillId="0" borderId="27" xfId="3" applyNumberFormat="1" applyFont="1" applyFill="1" applyBorder="1" applyAlignment="1">
      <alignment horizontal="center"/>
    </xf>
    <xf numFmtId="167" fontId="10" fillId="0" borderId="90" xfId="3" applyNumberFormat="1" applyFont="1" applyFill="1" applyBorder="1" applyAlignment="1">
      <alignment horizontal="center"/>
    </xf>
    <xf numFmtId="167" fontId="10" fillId="0" borderId="42" xfId="3" applyNumberFormat="1" applyFont="1" applyFill="1" applyBorder="1" applyAlignment="1">
      <alignment horizontal="center"/>
    </xf>
    <xf numFmtId="167" fontId="10" fillId="0" borderId="0" xfId="3" applyNumberFormat="1" applyFont="1" applyFill="1" applyBorder="1" applyAlignment="1">
      <alignment horizontal="center"/>
    </xf>
    <xf numFmtId="167" fontId="10" fillId="0" borderId="43" xfId="3" applyNumberFormat="1" applyFont="1" applyFill="1" applyBorder="1" applyAlignment="1">
      <alignment horizontal="center"/>
    </xf>
    <xf numFmtId="1" fontId="10" fillId="0" borderId="79" xfId="4" applyNumberFormat="1" applyFont="1" applyBorder="1" applyAlignment="1">
      <alignment horizontal="center" vertical="center" wrapText="1"/>
    </xf>
    <xf numFmtId="1" fontId="10" fillId="0" borderId="13" xfId="4" applyNumberFormat="1" applyFont="1" applyBorder="1" applyAlignment="1">
      <alignment horizontal="center" vertical="center" wrapText="1"/>
    </xf>
    <xf numFmtId="1" fontId="10" fillId="0" borderId="14" xfId="4" applyNumberFormat="1" applyFont="1" applyBorder="1" applyAlignment="1">
      <alignment horizontal="center" vertical="center"/>
    </xf>
    <xf numFmtId="1" fontId="10" fillId="0" borderId="0" xfId="4" applyNumberFormat="1" applyFont="1" applyAlignment="1">
      <alignment horizontal="left" wrapText="1"/>
    </xf>
    <xf numFmtId="1" fontId="10" fillId="0" borderId="43" xfId="4" applyNumberFormat="1" applyFont="1" applyBorder="1" applyAlignment="1">
      <alignment horizontal="left" wrapText="1"/>
    </xf>
    <xf numFmtId="167" fontId="10" fillId="0" borderId="21" xfId="0" applyNumberFormat="1" applyFont="1" applyBorder="1" applyAlignment="1">
      <alignment horizontal="center" vertical="center" wrapText="1"/>
    </xf>
    <xf numFmtId="167" fontId="10" fillId="0" borderId="27" xfId="0" applyNumberFormat="1" applyFont="1" applyBorder="1" applyAlignment="1">
      <alignment horizontal="center" vertical="center" wrapText="1"/>
    </xf>
    <xf numFmtId="167" fontId="10" fillId="0" borderId="90" xfId="0" applyNumberFormat="1"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center" vertical="center" wrapText="1"/>
    </xf>
    <xf numFmtId="0" fontId="10" fillId="0" borderId="43" xfId="0" applyFont="1" applyBorder="1" applyAlignment="1">
      <alignment horizontal="center" vertical="center" wrapText="1"/>
    </xf>
    <xf numFmtId="1" fontId="11" fillId="0" borderId="0" xfId="4" applyNumberFormat="1" applyFont="1" applyAlignment="1">
      <alignment horizontal="left" wrapText="1"/>
    </xf>
    <xf numFmtId="1" fontId="11" fillId="0" borderId="43" xfId="4" applyNumberFormat="1" applyFont="1" applyBorder="1" applyAlignment="1">
      <alignment horizontal="left" wrapText="1"/>
    </xf>
    <xf numFmtId="0" fontId="10" fillId="0" borderId="42" xfId="0" applyFont="1" applyBorder="1" applyAlignment="1">
      <alignment horizontal="left" vertical="top" wrapText="1"/>
    </xf>
    <xf numFmtId="0" fontId="10" fillId="0" borderId="0" xfId="0" applyFont="1" applyAlignment="1">
      <alignment horizontal="left" vertical="top" wrapText="1"/>
    </xf>
    <xf numFmtId="0" fontId="10" fillId="0" borderId="10" xfId="0" applyFont="1" applyBorder="1" applyAlignment="1">
      <alignment horizontal="left" vertical="top" wrapText="1"/>
    </xf>
    <xf numFmtId="168" fontId="10" fillId="0" borderId="21" xfId="4" applyNumberFormat="1" applyFont="1" applyBorder="1" applyAlignment="1">
      <alignment horizontal="center" vertical="center"/>
    </xf>
    <xf numFmtId="168" fontId="10" fillId="0" borderId="27" xfId="4" applyNumberFormat="1" applyFont="1" applyBorder="1" applyAlignment="1">
      <alignment horizontal="center" vertical="center"/>
    </xf>
    <xf numFmtId="168" fontId="10" fillId="0" borderId="90" xfId="4" applyNumberFormat="1" applyFont="1" applyBorder="1" applyAlignment="1">
      <alignment horizontal="center" vertical="center"/>
    </xf>
    <xf numFmtId="9" fontId="11" fillId="3" borderId="12" xfId="3" applyFont="1" applyFill="1" applyBorder="1" applyAlignment="1">
      <alignment horizontal="left"/>
    </xf>
    <xf numFmtId="9" fontId="11" fillId="3" borderId="4" xfId="3" applyFont="1" applyFill="1" applyBorder="1" applyAlignment="1">
      <alignment horizontal="left"/>
    </xf>
    <xf numFmtId="0" fontId="10" fillId="0" borderId="9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42" xfId="0" applyFont="1" applyBorder="1" applyAlignment="1">
      <alignment horizontal="left" vertical="center" wrapText="1"/>
    </xf>
    <xf numFmtId="0" fontId="10" fillId="0" borderId="0" xfId="0" applyFont="1" applyAlignment="1">
      <alignment horizontal="left" vertical="center" wrapText="1"/>
    </xf>
    <xf numFmtId="0" fontId="11" fillId="0" borderId="91" xfId="4" applyNumberFormat="1" applyFont="1" applyBorder="1" applyAlignment="1">
      <alignment horizontal="left" vertical="top" wrapText="1"/>
    </xf>
    <xf numFmtId="0" fontId="11" fillId="0" borderId="81" xfId="4" applyNumberFormat="1" applyFont="1" applyBorder="1" applyAlignment="1">
      <alignment horizontal="left" vertical="top" wrapText="1"/>
    </xf>
    <xf numFmtId="0" fontId="11" fillId="0" borderId="95" xfId="4" applyNumberFormat="1" applyFont="1" applyBorder="1" applyAlignment="1">
      <alignment horizontal="left" vertical="top" wrapText="1"/>
    </xf>
    <xf numFmtId="0" fontId="12" fillId="0" borderId="42" xfId="0" applyFont="1" applyBorder="1" applyAlignment="1">
      <alignment horizontal="left" vertical="top" wrapText="1"/>
    </xf>
    <xf numFmtId="0" fontId="12" fillId="0" borderId="0" xfId="0" applyFont="1" applyAlignment="1">
      <alignment horizontal="left" vertical="top" wrapText="1"/>
    </xf>
    <xf numFmtId="0" fontId="10" fillId="0" borderId="42" xfId="4" applyNumberFormat="1" applyFont="1" applyBorder="1" applyAlignment="1">
      <alignment horizontal="justify" vertical="top" wrapText="1"/>
    </xf>
    <xf numFmtId="0" fontId="10" fillId="0" borderId="0" xfId="4" applyNumberFormat="1" applyFont="1" applyAlignment="1">
      <alignment horizontal="justify" vertical="top" wrapText="1"/>
    </xf>
    <xf numFmtId="0" fontId="10" fillId="3" borderId="6" xfId="4" applyNumberFormat="1" applyFont="1" applyFill="1" applyBorder="1" applyAlignment="1">
      <alignment horizontal="left" vertical="center"/>
    </xf>
    <xf numFmtId="0" fontId="10" fillId="3" borderId="5" xfId="4" applyNumberFormat="1" applyFont="1" applyFill="1" applyBorder="1" applyAlignment="1">
      <alignment horizontal="left" vertical="center"/>
    </xf>
    <xf numFmtId="0" fontId="10" fillId="3" borderId="12" xfId="4" applyNumberFormat="1" applyFont="1" applyFill="1" applyBorder="1" applyAlignment="1">
      <alignment horizontal="left" vertical="center"/>
    </xf>
    <xf numFmtId="0" fontId="10" fillId="3" borderId="4" xfId="4" applyNumberFormat="1" applyFont="1" applyFill="1" applyBorder="1" applyAlignment="1">
      <alignment horizontal="left" vertical="center"/>
    </xf>
    <xf numFmtId="9" fontId="11" fillId="3" borderId="7" xfId="3" applyFont="1" applyFill="1" applyBorder="1" applyAlignment="1">
      <alignment horizontal="left"/>
    </xf>
    <xf numFmtId="9" fontId="11" fillId="3" borderId="0" xfId="3" applyFont="1" applyFill="1" applyBorder="1" applyAlignment="1">
      <alignment horizontal="left"/>
    </xf>
    <xf numFmtId="9" fontId="11" fillId="0" borderId="42" xfId="4" applyNumberFormat="1" applyFont="1" applyBorder="1" applyAlignment="1">
      <alignment horizontal="left" vertical="top" wrapText="1"/>
    </xf>
    <xf numFmtId="9" fontId="11" fillId="0" borderId="0" xfId="4" applyNumberFormat="1" applyFont="1" applyAlignment="1">
      <alignment horizontal="left" vertical="top" wrapText="1"/>
    </xf>
    <xf numFmtId="168" fontId="10" fillId="0" borderId="102" xfId="4" applyNumberFormat="1" applyFont="1" applyBorder="1" applyAlignment="1">
      <alignment horizontal="center" vertical="center" wrapText="1"/>
    </xf>
    <xf numFmtId="168" fontId="10" fillId="0" borderId="94" xfId="4" applyNumberFormat="1" applyFont="1" applyBorder="1" applyAlignment="1">
      <alignment horizontal="center" vertical="center" wrapText="1"/>
    </xf>
    <xf numFmtId="168" fontId="10" fillId="0" borderId="87" xfId="4" applyNumberFormat="1" applyFont="1" applyBorder="1" applyAlignment="1">
      <alignment horizontal="center" vertical="center" wrapText="1"/>
    </xf>
    <xf numFmtId="0" fontId="10" fillId="0" borderId="102" xfId="4" applyNumberFormat="1" applyFont="1" applyBorder="1" applyAlignment="1">
      <alignment horizontal="center" vertical="top"/>
    </xf>
    <xf numFmtId="0" fontId="10" fillId="0" borderId="80" xfId="4" applyNumberFormat="1" applyFont="1" applyBorder="1" applyAlignment="1">
      <alignment horizontal="center" vertical="top"/>
    </xf>
    <xf numFmtId="164" fontId="11" fillId="0" borderId="102" xfId="1" applyNumberFormat="1" applyFont="1" applyFill="1" applyBorder="1" applyAlignment="1">
      <alignment horizontal="center" vertical="center"/>
    </xf>
    <xf numFmtId="164" fontId="11" fillId="0" borderId="80" xfId="1" applyNumberFormat="1" applyFont="1" applyFill="1" applyBorder="1" applyAlignment="1">
      <alignment horizontal="center" vertical="center"/>
    </xf>
    <xf numFmtId="0" fontId="0" fillId="0" borderId="94" xfId="0" applyBorder="1" applyAlignment="1">
      <alignment horizontal="center" vertical="center" wrapText="1"/>
    </xf>
    <xf numFmtId="0" fontId="0" fillId="0" borderId="87" xfId="0" applyBorder="1" applyAlignment="1">
      <alignment horizontal="center" vertical="center" wrapText="1"/>
    </xf>
    <xf numFmtId="0" fontId="10" fillId="0" borderId="42" xfId="4" applyNumberFormat="1" applyFont="1" applyBorder="1" applyAlignment="1">
      <alignment horizontal="left" vertical="top" wrapText="1"/>
    </xf>
    <xf numFmtId="0" fontId="10" fillId="0" borderId="0" xfId="4" applyNumberFormat="1" applyFont="1" applyAlignment="1">
      <alignment horizontal="left" vertical="top" wrapText="1"/>
    </xf>
    <xf numFmtId="2" fontId="10" fillId="0" borderId="42" xfId="3" applyNumberFormat="1" applyFont="1" applyFill="1" applyBorder="1" applyAlignment="1">
      <alignment horizontal="left" vertical="top" wrapText="1"/>
    </xf>
    <xf numFmtId="2" fontId="10" fillId="0" borderId="0" xfId="3" applyNumberFormat="1" applyFont="1" applyFill="1" applyBorder="1" applyAlignment="1">
      <alignment horizontal="left" vertical="top" wrapText="1"/>
    </xf>
    <xf numFmtId="2" fontId="10" fillId="0" borderId="43" xfId="3" applyNumberFormat="1" applyFont="1" applyFill="1" applyBorder="1" applyAlignment="1">
      <alignment horizontal="left" vertical="top" wrapText="1"/>
    </xf>
    <xf numFmtId="9" fontId="10" fillId="0" borderId="42" xfId="3" applyFont="1" applyFill="1" applyBorder="1" applyAlignment="1">
      <alignment horizontal="left" vertical="top" wrapText="1"/>
    </xf>
    <xf numFmtId="9" fontId="10" fillId="0" borderId="0" xfId="3" applyFont="1" applyFill="1" applyBorder="1" applyAlignment="1">
      <alignment horizontal="left" vertical="top" wrapText="1"/>
    </xf>
    <xf numFmtId="2" fontId="11" fillId="0" borderId="42" xfId="3" applyNumberFormat="1" applyFont="1" applyFill="1" applyBorder="1" applyAlignment="1">
      <alignment horizontal="left" vertical="top" wrapText="1"/>
    </xf>
    <xf numFmtId="2" fontId="11" fillId="0" borderId="0" xfId="3" applyNumberFormat="1" applyFont="1" applyFill="1" applyBorder="1" applyAlignment="1">
      <alignment horizontal="left" vertical="top" wrapText="1"/>
    </xf>
    <xf numFmtId="2" fontId="11" fillId="0" borderId="43" xfId="3" applyNumberFormat="1" applyFont="1" applyFill="1" applyBorder="1" applyAlignment="1">
      <alignment horizontal="left" vertical="top" wrapText="1"/>
    </xf>
    <xf numFmtId="2" fontId="11" fillId="0" borderId="91" xfId="3" applyNumberFormat="1" applyFont="1" applyFill="1" applyBorder="1" applyAlignment="1">
      <alignment horizontal="left" vertical="top" wrapText="1"/>
    </xf>
    <xf numFmtId="2" fontId="11" fillId="0" borderId="81" xfId="3" applyNumberFormat="1" applyFont="1" applyFill="1" applyBorder="1" applyAlignment="1">
      <alignment horizontal="left" vertical="top" wrapText="1"/>
    </xf>
    <xf numFmtId="2" fontId="11" fillId="0" borderId="95" xfId="3" applyNumberFormat="1" applyFont="1" applyFill="1" applyBorder="1" applyAlignment="1">
      <alignment horizontal="left" vertical="top" wrapText="1"/>
    </xf>
    <xf numFmtId="0" fontId="10" fillId="0" borderId="96" xfId="4" applyNumberFormat="1" applyFont="1" applyBorder="1" applyAlignment="1">
      <alignment horizontal="left" vertical="center"/>
    </xf>
    <xf numFmtId="0" fontId="10" fillId="0" borderId="77" xfId="4" applyNumberFormat="1" applyFont="1" applyBorder="1" applyAlignment="1">
      <alignment horizontal="left" vertical="center"/>
    </xf>
    <xf numFmtId="0" fontId="10" fillId="0" borderId="93" xfId="4" applyNumberFormat="1" applyFont="1" applyBorder="1" applyAlignment="1">
      <alignment horizontal="left" vertical="center"/>
    </xf>
    <xf numFmtId="0" fontId="10" fillId="0" borderId="4" xfId="4" applyNumberFormat="1" applyFont="1" applyBorder="1" applyAlignment="1">
      <alignment horizontal="left" vertical="center"/>
    </xf>
    <xf numFmtId="9" fontId="10" fillId="0" borderId="4" xfId="3" applyFont="1" applyFill="1" applyBorder="1" applyAlignment="1">
      <alignment horizontal="center" vertical="top" wrapText="1"/>
    </xf>
    <xf numFmtId="9" fontId="10" fillId="0" borderId="63" xfId="3" applyFont="1" applyFill="1" applyBorder="1" applyAlignment="1">
      <alignment horizontal="center" vertical="top" wrapText="1"/>
    </xf>
    <xf numFmtId="164" fontId="10" fillId="0" borderId="4" xfId="1" applyNumberFormat="1" applyFont="1" applyFill="1" applyBorder="1" applyAlignment="1">
      <alignment horizontal="center"/>
    </xf>
    <xf numFmtId="164" fontId="10" fillId="0" borderId="63" xfId="1" applyNumberFormat="1" applyFont="1" applyFill="1" applyBorder="1" applyAlignment="1">
      <alignment horizontal="center"/>
    </xf>
    <xf numFmtId="164" fontId="10" fillId="0" borderId="4" xfId="1" applyNumberFormat="1" applyFont="1" applyFill="1" applyBorder="1" applyAlignment="1">
      <alignment horizontal="center" wrapText="1"/>
    </xf>
    <xf numFmtId="164" fontId="10" fillId="0" borderId="63" xfId="1" applyNumberFormat="1" applyFont="1" applyFill="1" applyBorder="1" applyAlignment="1">
      <alignment horizontal="center" wrapText="1"/>
    </xf>
    <xf numFmtId="167" fontId="10" fillId="0" borderId="4" xfId="3" applyNumberFormat="1" applyFont="1" applyFill="1" applyBorder="1" applyAlignment="1">
      <alignment horizontal="center"/>
    </xf>
    <xf numFmtId="167" fontId="10" fillId="0" borderId="63" xfId="3" applyNumberFormat="1" applyFont="1" applyFill="1" applyBorder="1" applyAlignment="1">
      <alignment horizontal="center"/>
    </xf>
    <xf numFmtId="10" fontId="10" fillId="0" borderId="0" xfId="2" applyNumberFormat="1" applyFont="1" applyFill="1" applyBorder="1" applyAlignment="1">
      <alignment horizontal="center"/>
    </xf>
    <xf numFmtId="10" fontId="10" fillId="0" borderId="43" xfId="2" applyNumberFormat="1" applyFont="1" applyFill="1" applyBorder="1" applyAlignment="1">
      <alignment horizontal="center"/>
    </xf>
    <xf numFmtId="9" fontId="10" fillId="0" borderId="96" xfId="3" applyFont="1" applyFill="1" applyBorder="1" applyAlignment="1">
      <alignment horizontal="left" vertical="top"/>
    </xf>
    <xf numFmtId="9" fontId="10" fillId="0" borderId="93" xfId="3" applyFont="1" applyFill="1" applyBorder="1" applyAlignment="1">
      <alignment horizontal="left" vertical="top"/>
    </xf>
    <xf numFmtId="9" fontId="11" fillId="0" borderId="77" xfId="3" applyFont="1" applyFill="1" applyBorder="1" applyAlignment="1">
      <alignment horizontal="center"/>
    </xf>
    <xf numFmtId="9" fontId="11" fillId="0" borderId="4" xfId="3" applyFont="1" applyFill="1" applyBorder="1" applyAlignment="1">
      <alignment horizontal="center"/>
    </xf>
    <xf numFmtId="168" fontId="10" fillId="0" borderId="79" xfId="4" applyNumberFormat="1" applyFont="1" applyBorder="1" applyAlignment="1">
      <alignment horizontal="center" vertical="top"/>
    </xf>
    <xf numFmtId="168" fontId="10" fillId="0" borderId="13" xfId="4" applyNumberFormat="1" applyFont="1" applyBorder="1" applyAlignment="1">
      <alignment horizontal="center" vertical="top"/>
    </xf>
    <xf numFmtId="168" fontId="10" fillId="0" borderId="4" xfId="0" applyNumberFormat="1" applyFont="1" applyBorder="1" applyAlignment="1">
      <alignment horizontal="center"/>
    </xf>
    <xf numFmtId="168" fontId="10" fillId="0" borderId="63" xfId="0" applyNumberFormat="1" applyFont="1" applyBorder="1" applyAlignment="1">
      <alignment horizontal="center"/>
    </xf>
    <xf numFmtId="0" fontId="12" fillId="0" borderId="106" xfId="4" applyNumberFormat="1" applyFont="1" applyBorder="1" applyAlignment="1">
      <alignment horizontal="left" vertical="top" wrapText="1"/>
    </xf>
    <xf numFmtId="0" fontId="12" fillId="0" borderId="76" xfId="4" applyNumberFormat="1" applyFont="1" applyBorder="1" applyAlignment="1">
      <alignment horizontal="left" vertical="top" wrapText="1"/>
    </xf>
    <xf numFmtId="43" fontId="11" fillId="0" borderId="102" xfId="1" applyFont="1" applyFill="1" applyBorder="1" applyAlignment="1">
      <alignment horizontal="center" vertical="center"/>
    </xf>
    <xf numFmtId="43" fontId="11" fillId="0" borderId="80" xfId="1" applyFont="1" applyFill="1" applyBorder="1" applyAlignment="1">
      <alignment horizontal="center" vertical="center"/>
    </xf>
    <xf numFmtId="0" fontId="2" fillId="0" borderId="0" xfId="0" applyFont="1" applyAlignment="1">
      <alignment horizontal="center"/>
    </xf>
    <xf numFmtId="0" fontId="2" fillId="0" borderId="82" xfId="0" applyFont="1" applyBorder="1" applyAlignment="1">
      <alignment horizontal="center" vertical="center"/>
    </xf>
    <xf numFmtId="0" fontId="2" fillId="0" borderId="85" xfId="0" applyFont="1" applyBorder="1" applyAlignment="1">
      <alignment horizontal="center" vertical="center"/>
    </xf>
    <xf numFmtId="0" fontId="2" fillId="0" borderId="59" xfId="0" applyFont="1" applyBorder="1" applyAlignment="1">
      <alignment horizontal="center" vertical="center"/>
    </xf>
    <xf numFmtId="0" fontId="2" fillId="0" borderId="1" xfId="0" applyFont="1" applyBorder="1" applyAlignment="1">
      <alignment horizontal="center"/>
    </xf>
    <xf numFmtId="0" fontId="2" fillId="0" borderId="18" xfId="0" applyFont="1" applyBorder="1" applyAlignment="1">
      <alignment horizontal="center"/>
    </xf>
    <xf numFmtId="0" fontId="2" fillId="0" borderId="87" xfId="0" applyFont="1" applyBorder="1" applyAlignment="1">
      <alignment horizontal="center"/>
    </xf>
    <xf numFmtId="0" fontId="0" fillId="0" borderId="0" xfId="0" applyAlignment="1">
      <alignment horizontal="left" vertical="top" wrapText="1"/>
    </xf>
    <xf numFmtId="0" fontId="115" fillId="0" borderId="21" xfId="0" applyFont="1" applyBorder="1" applyAlignment="1">
      <alignment horizontal="center"/>
    </xf>
    <xf numFmtId="0" fontId="115" fillId="0" borderId="27" xfId="0" applyFont="1" applyBorder="1" applyAlignment="1">
      <alignment horizontal="center"/>
    </xf>
    <xf numFmtId="0" fontId="115" fillId="0" borderId="90" xfId="0" applyFont="1" applyBorder="1" applyAlignment="1">
      <alignment horizontal="center"/>
    </xf>
    <xf numFmtId="0" fontId="0" fillId="0" borderId="0" xfId="0" applyAlignment="1">
      <alignment horizontal="left" wrapText="1"/>
    </xf>
    <xf numFmtId="167" fontId="110" fillId="0" borderId="59" xfId="3" applyNumberFormat="1" applyFont="1" applyFill="1" applyBorder="1" applyAlignment="1">
      <alignment horizontal="center"/>
    </xf>
    <xf numFmtId="167" fontId="110" fillId="0" borderId="13" xfId="3" applyNumberFormat="1" applyFont="1" applyFill="1" applyBorder="1" applyAlignment="1">
      <alignment horizontal="center"/>
    </xf>
    <xf numFmtId="167" fontId="110" fillId="0" borderId="35" xfId="3" applyNumberFormat="1" applyFont="1" applyFill="1" applyBorder="1" applyAlignment="1">
      <alignment horizontal="center"/>
    </xf>
    <xf numFmtId="167" fontId="110" fillId="0" borderId="21" xfId="3" applyNumberFormat="1" applyFont="1" applyFill="1" applyBorder="1" applyAlignment="1">
      <alignment horizontal="center" vertical="center"/>
    </xf>
    <xf numFmtId="167" fontId="110" fillId="0" borderId="27" xfId="3" applyNumberFormat="1" applyFont="1" applyFill="1" applyBorder="1" applyAlignment="1">
      <alignment horizontal="center" vertical="center"/>
    </xf>
    <xf numFmtId="167" fontId="110" fillId="0" borderId="90" xfId="3" applyNumberFormat="1" applyFont="1" applyFill="1" applyBorder="1" applyAlignment="1">
      <alignment horizontal="center" vertical="center"/>
    </xf>
    <xf numFmtId="167" fontId="110" fillId="0" borderId="42" xfId="3" applyNumberFormat="1" applyFont="1" applyFill="1" applyBorder="1" applyAlignment="1">
      <alignment horizontal="center" vertical="center"/>
    </xf>
    <xf numFmtId="167" fontId="110" fillId="0" borderId="0" xfId="3" applyNumberFormat="1" applyFont="1" applyFill="1" applyBorder="1" applyAlignment="1">
      <alignment horizontal="center" vertical="center"/>
    </xf>
    <xf numFmtId="167" fontId="110" fillId="0" borderId="43" xfId="3" applyNumberFormat="1" applyFont="1" applyFill="1" applyBorder="1" applyAlignment="1">
      <alignment horizontal="center" vertical="center"/>
    </xf>
    <xf numFmtId="168" fontId="110" fillId="0" borderId="21" xfId="35" applyNumberFormat="1" applyFont="1" applyBorder="1" applyAlignment="1">
      <alignment horizontal="center"/>
    </xf>
    <xf numFmtId="168" fontId="110" fillId="0" borderId="27" xfId="35" applyNumberFormat="1" applyFont="1" applyBorder="1" applyAlignment="1">
      <alignment horizontal="center"/>
    </xf>
    <xf numFmtId="168" fontId="110" fillId="0" borderId="90" xfId="35" applyNumberFormat="1" applyFont="1" applyBorder="1" applyAlignment="1">
      <alignment horizontal="center"/>
    </xf>
    <xf numFmtId="168" fontId="22" fillId="0" borderId="93" xfId="35" applyNumberFormat="1" applyFont="1" applyBorder="1" applyAlignment="1">
      <alignment horizontal="center" wrapText="1"/>
    </xf>
    <xf numFmtId="168" fontId="22" fillId="0" borderId="4" xfId="35" applyNumberFormat="1" applyFont="1" applyBorder="1" applyAlignment="1">
      <alignment horizontal="center" wrapText="1"/>
    </xf>
    <xf numFmtId="168" fontId="22" fillId="0" borderId="63" xfId="35" applyNumberFormat="1" applyFont="1" applyBorder="1" applyAlignment="1">
      <alignment horizontal="center" wrapText="1"/>
    </xf>
    <xf numFmtId="168" fontId="10" fillId="0" borderId="2" xfId="4" applyNumberFormat="1" applyFont="1" applyBorder="1" applyAlignment="1">
      <alignment horizontal="center"/>
    </xf>
    <xf numFmtId="168" fontId="10" fillId="0" borderId="3" xfId="4" applyNumberFormat="1" applyFont="1" applyBorder="1" applyAlignment="1">
      <alignment horizontal="center"/>
    </xf>
    <xf numFmtId="168" fontId="10" fillId="0" borderId="22" xfId="4" applyNumberFormat="1" applyFont="1" applyBorder="1" applyAlignment="1">
      <alignment horizontal="center"/>
    </xf>
    <xf numFmtId="0" fontId="122" fillId="0" borderId="0" xfId="11" applyFont="1" applyAlignment="1">
      <alignment horizontal="center"/>
    </xf>
    <xf numFmtId="0" fontId="123" fillId="0" borderId="0" xfId="11" applyFont="1" applyAlignment="1">
      <alignment horizontal="center"/>
    </xf>
    <xf numFmtId="0" fontId="94" fillId="0" borderId="4" xfId="11" applyFont="1" applyBorder="1" applyAlignment="1">
      <alignment horizontal="left" vertical="center"/>
    </xf>
    <xf numFmtId="0" fontId="124" fillId="0" borderId="79" xfId="11" applyFont="1" applyBorder="1" applyAlignment="1">
      <alignment horizontal="right" vertical="center" wrapText="1"/>
    </xf>
    <xf numFmtId="0" fontId="125" fillId="0" borderId="14" xfId="11" applyFont="1" applyBorder="1" applyAlignment="1">
      <alignment horizontal="right" vertical="center" wrapText="1"/>
    </xf>
    <xf numFmtId="0" fontId="2" fillId="0" borderId="102" xfId="0" applyFont="1" applyBorder="1" applyAlignment="1">
      <alignment horizontal="center"/>
    </xf>
    <xf numFmtId="0" fontId="2" fillId="0" borderId="80" xfId="0" applyFont="1" applyBorder="1" applyAlignment="1">
      <alignment horizontal="center"/>
    </xf>
    <xf numFmtId="0" fontId="2" fillId="0" borderId="76" xfId="0" applyFont="1" applyBorder="1" applyAlignment="1">
      <alignment horizontal="center"/>
    </xf>
    <xf numFmtId="0" fontId="19" fillId="3" borderId="18" xfId="0" applyFont="1" applyFill="1" applyBorder="1" applyAlignment="1">
      <alignment horizontal="center"/>
    </xf>
    <xf numFmtId="0" fontId="19" fillId="3" borderId="8" xfId="0" applyFont="1" applyFill="1" applyBorder="1" applyAlignment="1">
      <alignment horizontal="center"/>
    </xf>
    <xf numFmtId="0" fontId="19" fillId="3" borderId="20" xfId="0" applyFont="1" applyFill="1" applyBorder="1" applyAlignment="1">
      <alignment horizontal="center"/>
    </xf>
    <xf numFmtId="0" fontId="58" fillId="3" borderId="18" xfId="0" applyFont="1" applyFill="1" applyBorder="1" applyAlignment="1">
      <alignment horizontal="center"/>
    </xf>
    <xf numFmtId="0" fontId="58" fillId="3" borderId="8" xfId="0" applyFont="1" applyFill="1" applyBorder="1" applyAlignment="1">
      <alignment horizontal="center"/>
    </xf>
    <xf numFmtId="0" fontId="58" fillId="3" borderId="20" xfId="0" applyFont="1" applyFill="1" applyBorder="1" applyAlignment="1">
      <alignment horizontal="center"/>
    </xf>
    <xf numFmtId="0" fontId="19" fillId="3" borderId="11" xfId="0" applyFont="1" applyFill="1" applyBorder="1" applyAlignment="1">
      <alignment horizontal="left" vertical="center"/>
    </xf>
    <xf numFmtId="0" fontId="19" fillId="3" borderId="13" xfId="0" applyFont="1" applyFill="1" applyBorder="1" applyAlignment="1">
      <alignment horizontal="left" vertical="center"/>
    </xf>
    <xf numFmtId="0" fontId="2" fillId="0" borderId="11" xfId="0" applyFont="1" applyBorder="1" applyAlignment="1">
      <alignment horizontal="center" vertical="center"/>
    </xf>
    <xf numFmtId="0" fontId="2" fillId="0" borderId="13" xfId="0" applyFont="1" applyBorder="1" applyAlignment="1">
      <alignment horizontal="center" vertical="center"/>
    </xf>
    <xf numFmtId="0" fontId="19" fillId="3" borderId="6" xfId="0" applyFont="1" applyFill="1" applyBorder="1" applyAlignment="1">
      <alignment horizontal="left" vertical="center"/>
    </xf>
    <xf numFmtId="0" fontId="19" fillId="3" borderId="5" xfId="0" applyFont="1" applyFill="1" applyBorder="1" applyAlignment="1">
      <alignment horizontal="left" vertical="center"/>
    </xf>
    <xf numFmtId="0" fontId="19" fillId="3" borderId="9" xfId="0" applyFont="1" applyFill="1" applyBorder="1" applyAlignment="1">
      <alignment horizontal="left" vertical="center"/>
    </xf>
    <xf numFmtId="0" fontId="19" fillId="3" borderId="12" xfId="0" applyFont="1" applyFill="1" applyBorder="1" applyAlignment="1">
      <alignment horizontal="left" vertical="center"/>
    </xf>
    <xf numFmtId="0" fontId="19" fillId="3" borderId="4" xfId="0" applyFont="1" applyFill="1" applyBorder="1" applyAlignment="1">
      <alignment horizontal="left" vertical="center"/>
    </xf>
    <xf numFmtId="0" fontId="19" fillId="3" borderId="17" xfId="0" applyFont="1" applyFill="1" applyBorder="1" applyAlignment="1">
      <alignment horizontal="left" vertical="center"/>
    </xf>
    <xf numFmtId="168" fontId="83" fillId="0" borderId="67" xfId="26" applyNumberFormat="1" applyFont="1" applyBorder="1" applyAlignment="1">
      <alignment horizontal="center" vertical="top" wrapText="1"/>
    </xf>
    <xf numFmtId="168" fontId="83" fillId="0" borderId="94" xfId="26" applyNumberFormat="1" applyFont="1" applyBorder="1" applyAlignment="1">
      <alignment horizontal="center" vertical="top" wrapText="1"/>
    </xf>
    <xf numFmtId="168" fontId="83" fillId="0" borderId="87" xfId="26" applyNumberFormat="1" applyFont="1" applyBorder="1" applyAlignment="1">
      <alignment horizontal="center" vertical="top" wrapText="1"/>
    </xf>
    <xf numFmtId="168" fontId="83" fillId="0" borderId="79" xfId="26" applyNumberFormat="1" applyFont="1" applyBorder="1" applyAlignment="1">
      <alignment horizontal="center" vertical="top" wrapText="1"/>
    </xf>
    <xf numFmtId="168" fontId="83" fillId="0" borderId="83" xfId="26" applyNumberFormat="1" applyFont="1" applyBorder="1" applyAlignment="1">
      <alignment horizontal="center" vertical="top" wrapText="1"/>
    </xf>
    <xf numFmtId="173" fontId="83" fillId="0" borderId="14" xfId="27" applyNumberFormat="1" applyFont="1" applyFill="1" applyBorder="1" applyAlignment="1">
      <alignment horizontal="center"/>
    </xf>
    <xf numFmtId="170" fontId="83" fillId="0" borderId="42" xfId="27" applyNumberFormat="1" applyFont="1" applyFill="1" applyBorder="1" applyAlignment="1">
      <alignment horizontal="right"/>
    </xf>
    <xf numFmtId="170" fontId="83" fillId="0" borderId="0" xfId="27" applyNumberFormat="1" applyFont="1" applyFill="1" applyBorder="1" applyAlignment="1">
      <alignment horizontal="right"/>
    </xf>
    <xf numFmtId="170" fontId="83" fillId="0" borderId="10" xfId="27" applyNumberFormat="1" applyFont="1" applyFill="1" applyBorder="1" applyAlignment="1">
      <alignment horizontal="right"/>
    </xf>
    <xf numFmtId="0" fontId="64" fillId="0" borderId="76" xfId="0" applyFont="1" applyBorder="1" applyAlignment="1">
      <alignment horizontal="center"/>
    </xf>
    <xf numFmtId="0" fontId="2" fillId="0" borderId="1" xfId="0" applyFont="1" applyBorder="1" applyAlignment="1">
      <alignment horizontal="left" vertical="center"/>
    </xf>
    <xf numFmtId="164" fontId="2" fillId="0" borderId="1" xfId="0" applyNumberFormat="1" applyFont="1" applyBorder="1" applyAlignment="1">
      <alignment horizontal="center"/>
    </xf>
    <xf numFmtId="0" fontId="21" fillId="0" borderId="3" xfId="0" applyFont="1" applyBorder="1" applyAlignment="1">
      <alignment horizontal="center"/>
    </xf>
    <xf numFmtId="0" fontId="21" fillId="0" borderId="22" xfId="0" applyFont="1" applyBorder="1" applyAlignment="1">
      <alignment horizontal="center"/>
    </xf>
    <xf numFmtId="0" fontId="22" fillId="0" borderId="23" xfId="0" applyFont="1" applyBorder="1" applyAlignment="1" applyProtection="1">
      <alignment horizontal="center" vertical="center"/>
      <protection hidden="1"/>
    </xf>
    <xf numFmtId="0" fontId="22" fillId="0" borderId="29" xfId="0" applyFont="1" applyBorder="1" applyAlignment="1" applyProtection="1">
      <alignment horizontal="center" vertical="center"/>
      <protection hidden="1"/>
    </xf>
    <xf numFmtId="14" fontId="23" fillId="0" borderId="24" xfId="0" applyNumberFormat="1" applyFont="1" applyBorder="1" applyAlignment="1" applyProtection="1">
      <alignment horizontal="center" vertical="center"/>
      <protection hidden="1"/>
    </xf>
    <xf numFmtId="14" fontId="23" fillId="0" borderId="25" xfId="0" applyNumberFormat="1" applyFont="1" applyBorder="1" applyAlignment="1" applyProtection="1">
      <alignment horizontal="center" vertical="center"/>
      <protection hidden="1"/>
    </xf>
    <xf numFmtId="14" fontId="23" fillId="0" borderId="26" xfId="0" applyNumberFormat="1" applyFont="1" applyBorder="1" applyAlignment="1" applyProtection="1">
      <alignment horizontal="center" vertical="center"/>
      <protection hidden="1"/>
    </xf>
    <xf numFmtId="14" fontId="23" fillId="0" borderId="24" xfId="0" applyNumberFormat="1" applyFont="1" applyBorder="1" applyAlignment="1" applyProtection="1">
      <alignment horizontal="center"/>
      <protection hidden="1"/>
    </xf>
    <xf numFmtId="0" fontId="23" fillId="0" borderId="25" xfId="0" applyFont="1" applyBorder="1" applyAlignment="1" applyProtection="1">
      <alignment horizontal="center"/>
      <protection hidden="1"/>
    </xf>
    <xf numFmtId="0" fontId="23" fillId="0" borderId="27" xfId="0" applyFont="1" applyBorder="1" applyAlignment="1" applyProtection="1">
      <alignment horizontal="center"/>
      <protection hidden="1"/>
    </xf>
    <xf numFmtId="0" fontId="2" fillId="0" borderId="51" xfId="0" applyFont="1" applyBorder="1" applyAlignment="1">
      <alignment horizontal="left" vertical="center"/>
    </xf>
    <xf numFmtId="0" fontId="2" fillId="0" borderId="106" xfId="0" applyFont="1" applyBorder="1" applyAlignment="1">
      <alignment horizontal="left" vertical="center"/>
    </xf>
    <xf numFmtId="0" fontId="2" fillId="0" borderId="52" xfId="0" applyFont="1" applyBorder="1" applyAlignment="1">
      <alignment horizontal="center"/>
    </xf>
    <xf numFmtId="0" fontId="2" fillId="0" borderId="53" xfId="0" applyFont="1" applyBorder="1" applyAlignment="1">
      <alignment horizontal="center"/>
    </xf>
    <xf numFmtId="164" fontId="2" fillId="0" borderId="52" xfId="0" applyNumberFormat="1" applyFont="1" applyBorder="1" applyAlignment="1">
      <alignment horizontal="center"/>
    </xf>
    <xf numFmtId="164" fontId="2" fillId="0" borderId="53" xfId="0" applyNumberFormat="1" applyFont="1" applyBorder="1" applyAlignment="1">
      <alignment horizontal="center"/>
    </xf>
    <xf numFmtId="43" fontId="5" fillId="0" borderId="4" xfId="1" applyFont="1" applyBorder="1" applyAlignment="1">
      <alignment horizontal="center"/>
    </xf>
    <xf numFmtId="49" fontId="8" fillId="0" borderId="6" xfId="0" applyNumberFormat="1" applyFont="1" applyBorder="1" applyAlignment="1">
      <alignment horizontal="center" vertical="top" wrapText="1"/>
    </xf>
    <xf numFmtId="49" fontId="8" fillId="0" borderId="77" xfId="0" applyNumberFormat="1" applyFont="1" applyBorder="1" applyAlignment="1">
      <alignment horizontal="center" vertical="top" wrapText="1"/>
    </xf>
    <xf numFmtId="49" fontId="4" fillId="0" borderId="7" xfId="0" applyNumberFormat="1" applyFont="1" applyBorder="1" applyAlignment="1">
      <alignment horizontal="center" vertical="top" wrapText="1"/>
    </xf>
    <xf numFmtId="49" fontId="4" fillId="0" borderId="0" xfId="0" applyNumberFormat="1" applyFont="1" applyAlignment="1">
      <alignment horizontal="center" vertical="top" wrapText="1"/>
    </xf>
    <xf numFmtId="49" fontId="8" fillId="0" borderId="6" xfId="0" applyNumberFormat="1" applyFont="1" applyBorder="1" applyAlignment="1">
      <alignment horizontal="center" vertical="top"/>
    </xf>
    <xf numFmtId="49" fontId="8" fillId="0" borderId="77" xfId="0" applyNumberFormat="1" applyFont="1" applyBorder="1" applyAlignment="1">
      <alignment horizontal="center" vertical="top"/>
    </xf>
    <xf numFmtId="49" fontId="6" fillId="0" borderId="0" xfId="0" applyNumberFormat="1" applyFont="1" applyAlignment="1">
      <alignment vertical="top"/>
    </xf>
    <xf numFmtId="49" fontId="7" fillId="0" borderId="0" xfId="0" applyNumberFormat="1" applyFont="1" applyAlignment="1">
      <alignment vertical="top"/>
    </xf>
    <xf numFmtId="49" fontId="7" fillId="0" borderId="4" xfId="0" applyNumberFormat="1" applyFont="1" applyBorder="1" applyAlignment="1">
      <alignment vertical="top"/>
    </xf>
    <xf numFmtId="49" fontId="6" fillId="0" borderId="77" xfId="0" applyNumberFormat="1" applyFont="1" applyBorder="1" applyAlignment="1">
      <alignment vertical="top"/>
    </xf>
    <xf numFmtId="0" fontId="105" fillId="0" borderId="76" xfId="32" applyFont="1" applyBorder="1" applyAlignment="1" applyProtection="1">
      <alignment horizontal="left" shrinkToFit="1"/>
      <protection locked="0"/>
    </xf>
    <xf numFmtId="15" fontId="99" fillId="4" borderId="1" xfId="32" applyNumberFormat="1" applyFont="1" applyFill="1" applyBorder="1" applyAlignment="1" applyProtection="1">
      <alignment horizontal="center" vertical="center" wrapText="1"/>
      <protection locked="0"/>
    </xf>
    <xf numFmtId="0" fontId="102" fillId="0" borderId="0" xfId="32" applyFont="1" applyAlignment="1" applyProtection="1">
      <alignment horizontal="left" vertical="center" wrapText="1"/>
      <protection locked="0"/>
    </xf>
    <xf numFmtId="170" fontId="103" fillId="0" borderId="76" xfId="33" applyFont="1" applyFill="1" applyBorder="1" applyAlignment="1" applyProtection="1">
      <alignment horizontal="left" vertical="center" shrinkToFit="1"/>
      <protection locked="0"/>
    </xf>
    <xf numFmtId="0" fontId="99" fillId="0" borderId="76" xfId="32" applyFont="1" applyBorder="1" applyAlignment="1" applyProtection="1">
      <alignment horizontal="left" shrinkToFit="1"/>
      <protection locked="0"/>
    </xf>
    <xf numFmtId="0" fontId="97" fillId="8" borderId="0" xfId="32" applyFont="1" applyFill="1" applyAlignment="1" applyProtection="1">
      <alignment horizontal="center" vertical="center" shrinkToFit="1"/>
      <protection locked="0"/>
    </xf>
    <xf numFmtId="0" fontId="98" fillId="8" borderId="0" xfId="32" applyFont="1" applyFill="1" applyAlignment="1" applyProtection="1">
      <alignment horizontal="center" vertical="top" wrapText="1"/>
      <protection locked="0"/>
    </xf>
    <xf numFmtId="0" fontId="99" fillId="4" borderId="1" xfId="32" applyFont="1" applyFill="1" applyBorder="1" applyAlignment="1" applyProtection="1">
      <alignment horizontal="center" vertical="center" wrapText="1"/>
      <protection locked="0"/>
    </xf>
    <xf numFmtId="0" fontId="99" fillId="4" borderId="1" xfId="32" applyFont="1" applyFill="1" applyBorder="1" applyAlignment="1" applyProtection="1">
      <alignment horizontal="center" vertical="center" shrinkToFit="1"/>
      <protection locked="0"/>
    </xf>
    <xf numFmtId="170" fontId="99" fillId="4" borderId="1" xfId="33" applyFont="1" applyFill="1"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3" xfId="0" applyFont="1" applyBorder="1" applyAlignment="1">
      <alignment horizontal="center" vertical="center" wrapText="1"/>
    </xf>
    <xf numFmtId="43" fontId="2" fillId="0" borderId="1" xfId="1" applyFont="1" applyBorder="1" applyAlignment="1">
      <alignment horizontal="center"/>
    </xf>
    <xf numFmtId="0" fontId="2" fillId="0" borderId="1" xfId="0" applyFont="1" applyBorder="1" applyAlignment="1">
      <alignment horizontal="center" vertical="center" wrapText="1"/>
    </xf>
    <xf numFmtId="43" fontId="2" fillId="0" borderId="11" xfId="1" applyFont="1" applyBorder="1" applyAlignment="1">
      <alignment horizontal="center" vertical="center" wrapText="1"/>
    </xf>
    <xf numFmtId="43" fontId="2" fillId="0" borderId="13" xfId="1" applyFont="1" applyBorder="1" applyAlignment="1">
      <alignment horizontal="center" vertical="center" wrapText="1"/>
    </xf>
    <xf numFmtId="168" fontId="59" fillId="0" borderId="6" xfId="16" applyNumberFormat="1" applyFont="1" applyBorder="1" applyAlignment="1">
      <alignment horizontal="center"/>
    </xf>
    <xf numFmtId="168" fontId="59" fillId="0" borderId="5" xfId="16" applyNumberFormat="1" applyFont="1" applyBorder="1" applyAlignment="1">
      <alignment horizontal="center"/>
    </xf>
    <xf numFmtId="168" fontId="59" fillId="0" borderId="9" xfId="16" applyNumberFormat="1" applyFont="1" applyBorder="1" applyAlignment="1">
      <alignment horizontal="center"/>
    </xf>
    <xf numFmtId="168" fontId="59" fillId="0" borderId="7" xfId="16" applyNumberFormat="1" applyFont="1" applyBorder="1" applyAlignment="1">
      <alignment horizontal="center"/>
    </xf>
    <xf numFmtId="168" fontId="59" fillId="0" borderId="0" xfId="16" applyNumberFormat="1" applyFont="1" applyAlignment="1">
      <alignment horizontal="center"/>
    </xf>
    <xf numFmtId="168" fontId="59" fillId="0" borderId="10" xfId="16" applyNumberFormat="1" applyFont="1" applyBorder="1" applyAlignment="1">
      <alignment horizontal="center"/>
    </xf>
    <xf numFmtId="181" fontId="59" fillId="0" borderId="7" xfId="16" applyNumberFormat="1" applyFont="1" applyBorder="1" applyAlignment="1">
      <alignment horizontal="center"/>
    </xf>
    <xf numFmtId="181" fontId="59" fillId="0" borderId="0" xfId="16" applyNumberFormat="1" applyFont="1" applyAlignment="1">
      <alignment horizontal="center"/>
    </xf>
    <xf numFmtId="181" fontId="59" fillId="0" borderId="10" xfId="16" applyNumberFormat="1" applyFont="1" applyBorder="1" applyAlignment="1">
      <alignment horizontal="center"/>
    </xf>
    <xf numFmtId="167" fontId="10" fillId="0" borderId="6" xfId="0" applyNumberFormat="1" applyFont="1" applyBorder="1" applyAlignment="1">
      <alignment horizontal="center" vertical="center" wrapText="1"/>
    </xf>
    <xf numFmtId="167" fontId="10" fillId="0" borderId="5" xfId="0" applyNumberFormat="1" applyFont="1" applyBorder="1" applyAlignment="1">
      <alignment horizontal="center" vertical="center" wrapText="1"/>
    </xf>
    <xf numFmtId="0" fontId="10" fillId="0" borderId="12" xfId="0" applyFont="1" applyBorder="1" applyAlignment="1">
      <alignment horizontal="center" vertical="center" wrapText="1"/>
    </xf>
    <xf numFmtId="0" fontId="10" fillId="0" borderId="1" xfId="0" applyFont="1" applyBorder="1" applyAlignment="1">
      <alignment horizontal="left" vertical="center" wrapText="1"/>
    </xf>
    <xf numFmtId="164" fontId="10" fillId="0" borderId="1" xfId="1" applyNumberFormat="1" applyFont="1" applyFill="1" applyBorder="1" applyAlignment="1">
      <alignment horizontal="center" vertical="center" wrapText="1"/>
    </xf>
    <xf numFmtId="0" fontId="2" fillId="0" borderId="8" xfId="0" applyFont="1" applyBorder="1" applyAlignment="1">
      <alignment horizontal="center"/>
    </xf>
    <xf numFmtId="0" fontId="2" fillId="0" borderId="20" xfId="0" applyFont="1" applyBorder="1" applyAlignment="1">
      <alignment horizontal="center"/>
    </xf>
    <xf numFmtId="0" fontId="50" fillId="0" borderId="0" xfId="0" applyFont="1" applyAlignment="1">
      <alignment horizontal="center"/>
    </xf>
    <xf numFmtId="168" fontId="52" fillId="0" borderId="0" xfId="12" applyNumberFormat="1" applyFont="1" applyAlignment="1">
      <alignment horizontal="center"/>
    </xf>
    <xf numFmtId="170" fontId="25" fillId="0" borderId="0" xfId="9" applyFont="1" applyAlignment="1">
      <alignment horizontal="center" vertical="top"/>
    </xf>
    <xf numFmtId="170" fontId="25" fillId="0" borderId="0" xfId="9" applyFont="1" applyBorder="1" applyAlignment="1">
      <alignment horizontal="center" vertical="top"/>
    </xf>
    <xf numFmtId="170" fontId="27" fillId="0" borderId="0" xfId="9" applyFont="1" applyBorder="1" applyAlignment="1">
      <alignment horizontal="center" vertical="top"/>
    </xf>
    <xf numFmtId="170" fontId="28" fillId="0" borderId="49" xfId="9" applyFont="1" applyBorder="1" applyAlignment="1">
      <alignment horizontal="center" vertical="top" wrapText="1"/>
    </xf>
    <xf numFmtId="170" fontId="28" fillId="0" borderId="56" xfId="9" applyFont="1" applyBorder="1" applyAlignment="1">
      <alignment horizontal="center" vertical="top" wrapText="1"/>
    </xf>
    <xf numFmtId="170" fontId="28" fillId="0" borderId="50" xfId="9" applyFont="1" applyBorder="1" applyAlignment="1">
      <alignment horizontal="center" vertical="center"/>
    </xf>
    <xf numFmtId="170" fontId="28" fillId="0" borderId="57" xfId="9" applyFont="1" applyBorder="1" applyAlignment="1">
      <alignment horizontal="center" vertical="center"/>
    </xf>
    <xf numFmtId="170" fontId="28" fillId="0" borderId="51" xfId="9" applyFont="1" applyBorder="1" applyAlignment="1">
      <alignment horizontal="center"/>
    </xf>
    <xf numFmtId="170" fontId="28" fillId="0" borderId="52" xfId="9" applyFont="1" applyBorder="1" applyAlignment="1">
      <alignment horizontal="center"/>
    </xf>
    <xf numFmtId="170" fontId="28" fillId="0" borderId="53" xfId="9" applyFont="1" applyBorder="1" applyAlignment="1">
      <alignment horizontal="center"/>
    </xf>
    <xf numFmtId="170" fontId="28" fillId="0" borderId="54" xfId="9" applyFont="1" applyBorder="1" applyAlignment="1">
      <alignment horizontal="center"/>
    </xf>
    <xf numFmtId="170" fontId="28" fillId="0" borderId="55" xfId="9" applyFont="1" applyBorder="1" applyAlignment="1">
      <alignment horizontal="center"/>
    </xf>
    <xf numFmtId="0" fontId="50" fillId="0" borderId="0" xfId="11" applyFont="1" applyAlignment="1">
      <alignment horizontal="center"/>
    </xf>
    <xf numFmtId="0" fontId="51" fillId="0" borderId="0" xfId="11" applyFont="1" applyAlignment="1">
      <alignment horizontal="center" vertical="center"/>
    </xf>
    <xf numFmtId="0" fontId="2" fillId="4" borderId="1" xfId="11" applyFont="1" applyFill="1" applyBorder="1" applyAlignment="1">
      <alignment horizontal="center" vertical="center"/>
    </xf>
    <xf numFmtId="0" fontId="2" fillId="4" borderId="11" xfId="11" applyFont="1" applyFill="1" applyBorder="1" applyAlignment="1">
      <alignment horizontal="center" vertical="center" wrapText="1" shrinkToFit="1"/>
    </xf>
    <xf numFmtId="0" fontId="2" fillId="4" borderId="13" xfId="11" applyFont="1" applyFill="1" applyBorder="1" applyAlignment="1">
      <alignment horizontal="center" vertical="center" wrapText="1" shrinkToFit="1"/>
    </xf>
    <xf numFmtId="0" fontId="2" fillId="4" borderId="1" xfId="11" applyFont="1" applyFill="1" applyBorder="1" applyAlignment="1">
      <alignment horizontal="center"/>
    </xf>
    <xf numFmtId="173" fontId="19" fillId="0" borderId="11" xfId="20" applyNumberFormat="1" applyFont="1" applyFill="1" applyBorder="1" applyAlignment="1">
      <alignment horizontal="center" wrapText="1"/>
    </xf>
    <xf numFmtId="168" fontId="58" fillId="0" borderId="14" xfId="21" applyNumberFormat="1" applyFont="1" applyBorder="1" applyAlignment="1">
      <alignment horizontal="center" wrapText="1"/>
    </xf>
    <xf numFmtId="168" fontId="58" fillId="0" borderId="13" xfId="21" applyNumberFormat="1" applyFont="1" applyBorder="1" applyAlignment="1">
      <alignment horizontal="center" wrapText="1"/>
    </xf>
    <xf numFmtId="0" fontId="19" fillId="0" borderId="6" xfId="19" applyFont="1" applyBorder="1" applyAlignment="1">
      <alignment horizontal="center"/>
    </xf>
    <xf numFmtId="0" fontId="19" fillId="0" borderId="5" xfId="19" applyFont="1" applyBorder="1" applyAlignment="1">
      <alignment horizontal="center"/>
    </xf>
    <xf numFmtId="0" fontId="19" fillId="0" borderId="9" xfId="19" applyFont="1" applyBorder="1" applyAlignment="1">
      <alignment horizontal="center"/>
    </xf>
    <xf numFmtId="168" fontId="19" fillId="0" borderId="7" xfId="21" applyNumberFormat="1" applyFont="1" applyBorder="1" applyAlignment="1">
      <alignment horizontal="center"/>
    </xf>
    <xf numFmtId="168" fontId="19" fillId="0" borderId="0" xfId="21" applyNumberFormat="1" applyFont="1" applyAlignment="1">
      <alignment horizontal="center"/>
    </xf>
    <xf numFmtId="168" fontId="19" fillId="0" borderId="10" xfId="21" applyNumberFormat="1" applyFont="1" applyBorder="1" applyAlignment="1">
      <alignment horizontal="center"/>
    </xf>
    <xf numFmtId="0" fontId="72" fillId="0" borderId="7" xfId="22" applyFont="1" applyFill="1" applyBorder="1" applyAlignment="1" applyProtection="1">
      <alignment horizontal="center"/>
    </xf>
    <xf numFmtId="0" fontId="72" fillId="0" borderId="0" xfId="22" applyFont="1" applyFill="1" applyBorder="1" applyAlignment="1" applyProtection="1">
      <alignment horizontal="center"/>
    </xf>
    <xf numFmtId="0" fontId="72" fillId="0" borderId="10" xfId="22" applyFont="1" applyFill="1" applyBorder="1" applyAlignment="1" applyProtection="1">
      <alignment horizontal="center"/>
    </xf>
    <xf numFmtId="173" fontId="19" fillId="0" borderId="7" xfId="20" applyNumberFormat="1" applyFont="1" applyFill="1" applyBorder="1" applyAlignment="1">
      <alignment horizontal="center"/>
    </xf>
    <xf numFmtId="173" fontId="19" fillId="0" borderId="0" xfId="20" applyNumberFormat="1" applyFont="1" applyFill="1" applyBorder="1" applyAlignment="1">
      <alignment horizontal="center"/>
    </xf>
    <xf numFmtId="173" fontId="19" fillId="0" borderId="10" xfId="20" applyNumberFormat="1" applyFont="1" applyFill="1" applyBorder="1" applyAlignment="1">
      <alignment horizontal="center"/>
    </xf>
    <xf numFmtId="173" fontId="19" fillId="0" borderId="18" xfId="20" applyNumberFormat="1" applyFont="1" applyFill="1" applyBorder="1" applyAlignment="1">
      <alignment horizontal="center"/>
    </xf>
    <xf numFmtId="173" fontId="19" fillId="0" borderId="20" xfId="20" applyNumberFormat="1" applyFont="1" applyFill="1" applyBorder="1" applyAlignment="1">
      <alignment horizontal="center"/>
    </xf>
    <xf numFmtId="173" fontId="19" fillId="0" borderId="18" xfId="23" applyNumberFormat="1" applyFont="1" applyFill="1" applyBorder="1" applyAlignment="1">
      <alignment horizontal="center"/>
    </xf>
    <xf numFmtId="173" fontId="19" fillId="0" borderId="20" xfId="23" applyNumberFormat="1" applyFont="1" applyFill="1" applyBorder="1" applyAlignment="1">
      <alignment horizontal="center"/>
    </xf>
    <xf numFmtId="0" fontId="83" fillId="0" borderId="19" xfId="0" applyFont="1" applyBorder="1" applyAlignment="1">
      <alignment horizontal="right"/>
    </xf>
    <xf numFmtId="0" fontId="83" fillId="0" borderId="68" xfId="0" applyFont="1" applyBorder="1" applyAlignment="1">
      <alignment horizontal="right"/>
    </xf>
    <xf numFmtId="0" fontId="83" fillId="0" borderId="15" xfId="0" applyFont="1" applyBorder="1" applyAlignment="1">
      <alignment horizontal="right"/>
    </xf>
    <xf numFmtId="0" fontId="92" fillId="0" borderId="7" xfId="0" applyFont="1" applyBorder="1" applyAlignment="1">
      <alignment horizontal="center"/>
    </xf>
    <xf numFmtId="0" fontId="92" fillId="0" borderId="10" xfId="0" applyFont="1" applyBorder="1" applyAlignment="1">
      <alignment horizontal="center"/>
    </xf>
    <xf numFmtId="0" fontId="92" fillId="0" borderId="69" xfId="0" applyFont="1" applyBorder="1" applyAlignment="1">
      <alignment horizontal="center"/>
    </xf>
    <xf numFmtId="0" fontId="92" fillId="0" borderId="73" xfId="0" applyFont="1" applyBorder="1" applyAlignment="1">
      <alignment horizontal="center"/>
    </xf>
    <xf numFmtId="0" fontId="92" fillId="0" borderId="18" xfId="0" applyFont="1" applyBorder="1" applyAlignment="1">
      <alignment horizontal="center"/>
    </xf>
    <xf numFmtId="0" fontId="92" fillId="0" borderId="8" xfId="0" applyFont="1" applyBorder="1" applyAlignment="1">
      <alignment horizontal="center"/>
    </xf>
    <xf numFmtId="0" fontId="92" fillId="0" borderId="20" xfId="0" applyFont="1" applyBorder="1" applyAlignment="1">
      <alignment horizontal="center"/>
    </xf>
    <xf numFmtId="0" fontId="92" fillId="0" borderId="6" xfId="0" applyFont="1" applyBorder="1" applyAlignment="1">
      <alignment horizontal="center"/>
    </xf>
    <xf numFmtId="0" fontId="92" fillId="0" borderId="9" xfId="0" applyFont="1" applyBorder="1" applyAlignment="1">
      <alignment horizontal="center"/>
    </xf>
    <xf numFmtId="0" fontId="93" fillId="0" borderId="0" xfId="0" applyFont="1" applyAlignment="1">
      <alignment horizontal="center"/>
    </xf>
    <xf numFmtId="0" fontId="94" fillId="0" borderId="0" xfId="0" applyFont="1" applyAlignment="1">
      <alignment horizontal="center"/>
    </xf>
  </cellXfs>
  <cellStyles count="38">
    <cellStyle name="Accent1" xfId="36" builtinId="29"/>
    <cellStyle name="Comma" xfId="1" builtinId="3"/>
    <cellStyle name="Comma 10 10" xfId="28" xr:uid="{00000000-0005-0000-0000-000002000000}"/>
    <cellStyle name="Comma 11 2 2" xfId="33" xr:uid="{00000000-0005-0000-0000-000003000000}"/>
    <cellStyle name="Comma 13" xfId="13" xr:uid="{00000000-0005-0000-0000-000004000000}"/>
    <cellStyle name="Comma 16" xfId="20" xr:uid="{00000000-0005-0000-0000-000005000000}"/>
    <cellStyle name="Comma 2" xfId="9" xr:uid="{00000000-0005-0000-0000-000006000000}"/>
    <cellStyle name="Comma 2 2" xfId="34" xr:uid="{00000000-0005-0000-0000-000007000000}"/>
    <cellStyle name="Comma 2 8 6" xfId="31" xr:uid="{00000000-0005-0000-0000-000008000000}"/>
    <cellStyle name="Comma 20" xfId="27" xr:uid="{00000000-0005-0000-0000-000009000000}"/>
    <cellStyle name="Comma 26" xfId="17" xr:uid="{00000000-0005-0000-0000-00000A000000}"/>
    <cellStyle name="Comma 3" xfId="15" xr:uid="{00000000-0005-0000-0000-00000B000000}"/>
    <cellStyle name="Comma 3 29" xfId="18" xr:uid="{00000000-0005-0000-0000-00000C000000}"/>
    <cellStyle name="Comma 38" xfId="8" xr:uid="{00000000-0005-0000-0000-00000D000000}"/>
    <cellStyle name="Comma_BALANCE SHEET 240605 SUSHIL" xfId="23" xr:uid="{00000000-0005-0000-0000-00000E000000}"/>
    <cellStyle name="Hyperlink 2" xfId="22" xr:uid="{00000000-0005-0000-0000-00000F000000}"/>
    <cellStyle name="Hyperlink 4" xfId="7" xr:uid="{00000000-0005-0000-0000-000010000000}"/>
    <cellStyle name="Normal" xfId="0" builtinId="0"/>
    <cellStyle name="Normal 10" xfId="14" xr:uid="{00000000-0005-0000-0000-000012000000}"/>
    <cellStyle name="Normal 10 2" xfId="11" xr:uid="{00000000-0005-0000-0000-000013000000}"/>
    <cellStyle name="Normal 13" xfId="21" xr:uid="{00000000-0005-0000-0000-000014000000}"/>
    <cellStyle name="Normal 18" xfId="26" xr:uid="{00000000-0005-0000-0000-000015000000}"/>
    <cellStyle name="Normal 2" xfId="10" xr:uid="{00000000-0005-0000-0000-000016000000}"/>
    <cellStyle name="Normal 2 2" xfId="37" xr:uid="{00000000-0005-0000-0000-000017000000}"/>
    <cellStyle name="Normal 22" xfId="16" xr:uid="{00000000-0005-0000-0000-000018000000}"/>
    <cellStyle name="Normal 4" xfId="25" xr:uid="{00000000-0005-0000-0000-000019000000}"/>
    <cellStyle name="Normal 4 8" xfId="35" xr:uid="{00000000-0005-0000-0000-00001A000000}"/>
    <cellStyle name="Normal 6" xfId="4" xr:uid="{00000000-0005-0000-0000-00001B000000}"/>
    <cellStyle name="Normal 6 25" xfId="6" xr:uid="{00000000-0005-0000-0000-00001C000000}"/>
    <cellStyle name="Normal 8 9" xfId="32" xr:uid="{00000000-0005-0000-0000-00001D000000}"/>
    <cellStyle name="Normal_BAL30.9-1" xfId="24" xr:uid="{00000000-0005-0000-0000-00001E000000}"/>
    <cellStyle name="Normal_BALANCE SHEET 240605 SUSHIL (FINAL)" xfId="12" xr:uid="{00000000-0005-0000-0000-00001F000000}"/>
    <cellStyle name="Normal_BALANCESHEET 31.03.2003(FINAL)" xfId="19" xr:uid="{00000000-0005-0000-0000-000020000000}"/>
    <cellStyle name="Normal_Final Balance Sheet 25.10.04" xfId="30" xr:uid="{00000000-0005-0000-0000-000021000000}"/>
    <cellStyle name="Normal_Kaygaon revised 310307sushil-1507071" xfId="29" xr:uid="{00000000-0005-0000-0000-000022000000}"/>
    <cellStyle name="Percent" xfId="2" builtinId="5"/>
    <cellStyle name="Percent 2 2" xfId="3" xr:uid="{00000000-0005-0000-0000-000024000000}"/>
    <cellStyle name="Percent 3" xfId="5" xr:uid="{00000000-0005-0000-0000-000025000000}"/>
  </cellStyles>
  <dxfs count="21">
    <dxf>
      <fill>
        <patternFill>
          <bgColor theme="5" tint="0.39994506668294322"/>
        </patternFill>
      </fill>
    </dxf>
    <dxf>
      <font>
        <color rgb="FF9C0006"/>
      </font>
      <fill>
        <patternFill>
          <bgColor rgb="FFFFC7CE"/>
        </patternFill>
      </fill>
    </dxf>
    <dxf>
      <font>
        <color rgb="FFFF0000"/>
      </font>
    </dxf>
    <dxf>
      <fill>
        <patternFill>
          <bgColor rgb="FF92D050"/>
        </patternFill>
      </fill>
    </dxf>
    <dxf>
      <fill>
        <patternFill>
          <bgColor rgb="FF92D05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0.xml"/><Relationship Id="rId21" Type="http://schemas.openxmlformats.org/officeDocument/2006/relationships/worksheet" Target="worksheets/sheet21.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63" Type="http://schemas.openxmlformats.org/officeDocument/2006/relationships/externalLink" Target="externalLinks/externalLink26.xml"/><Relationship Id="rId68" Type="http://schemas.openxmlformats.org/officeDocument/2006/relationships/externalLink" Target="externalLinks/externalLink31.xml"/><Relationship Id="rId84" Type="http://schemas.openxmlformats.org/officeDocument/2006/relationships/externalLink" Target="externalLinks/externalLink47.xml"/><Relationship Id="rId89" Type="http://schemas.openxmlformats.org/officeDocument/2006/relationships/externalLink" Target="externalLinks/externalLink52.xml"/><Relationship Id="rId112" Type="http://schemas.openxmlformats.org/officeDocument/2006/relationships/externalLink" Target="externalLinks/externalLink75.xml"/><Relationship Id="rId16" Type="http://schemas.openxmlformats.org/officeDocument/2006/relationships/worksheet" Target="worksheets/sheet16.xml"/><Relationship Id="rId107" Type="http://schemas.openxmlformats.org/officeDocument/2006/relationships/externalLink" Target="externalLinks/externalLink7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74" Type="http://schemas.openxmlformats.org/officeDocument/2006/relationships/externalLink" Target="externalLinks/externalLink37.xml"/><Relationship Id="rId79" Type="http://schemas.openxmlformats.org/officeDocument/2006/relationships/externalLink" Target="externalLinks/externalLink42.xml"/><Relationship Id="rId102" Type="http://schemas.openxmlformats.org/officeDocument/2006/relationships/externalLink" Target="externalLinks/externalLink65.xml"/><Relationship Id="rId123"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53.xml"/><Relationship Id="rId95" Type="http://schemas.openxmlformats.org/officeDocument/2006/relationships/externalLink" Target="externalLinks/externalLink5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113" Type="http://schemas.openxmlformats.org/officeDocument/2006/relationships/externalLink" Target="externalLinks/externalLink76.xml"/><Relationship Id="rId118" Type="http://schemas.openxmlformats.org/officeDocument/2006/relationships/externalLink" Target="externalLinks/externalLink81.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1.xml"/><Relationship Id="rId59" Type="http://schemas.openxmlformats.org/officeDocument/2006/relationships/externalLink" Target="externalLinks/externalLink22.xml"/><Relationship Id="rId103" Type="http://schemas.openxmlformats.org/officeDocument/2006/relationships/externalLink" Target="externalLinks/externalLink66.xml"/><Relationship Id="rId108" Type="http://schemas.openxmlformats.org/officeDocument/2006/relationships/externalLink" Target="externalLinks/externalLink71.xml"/><Relationship Id="rId124" Type="http://schemas.openxmlformats.org/officeDocument/2006/relationships/sharedStrings" Target="sharedStrings.xml"/><Relationship Id="rId54" Type="http://schemas.openxmlformats.org/officeDocument/2006/relationships/externalLink" Target="externalLinks/externalLink17.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2.xml"/><Relationship Id="rId114" Type="http://schemas.openxmlformats.org/officeDocument/2006/relationships/externalLink" Target="externalLinks/externalLink77.xml"/><Relationship Id="rId119" Type="http://schemas.openxmlformats.org/officeDocument/2006/relationships/externalLink" Target="externalLinks/externalLink82.xml"/><Relationship Id="rId44" Type="http://schemas.openxmlformats.org/officeDocument/2006/relationships/externalLink" Target="externalLinks/externalLink7.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109" Type="http://schemas.openxmlformats.org/officeDocument/2006/relationships/externalLink" Target="externalLinks/externalLink7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externalLink" Target="externalLinks/externalLink67.xml"/><Relationship Id="rId120" Type="http://schemas.openxmlformats.org/officeDocument/2006/relationships/externalLink" Target="externalLinks/externalLink83.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66" Type="http://schemas.openxmlformats.org/officeDocument/2006/relationships/externalLink" Target="externalLinks/externalLink29.xml"/><Relationship Id="rId87" Type="http://schemas.openxmlformats.org/officeDocument/2006/relationships/externalLink" Target="externalLinks/externalLink50.xml"/><Relationship Id="rId110" Type="http://schemas.openxmlformats.org/officeDocument/2006/relationships/externalLink" Target="externalLinks/externalLink73.xml"/><Relationship Id="rId115" Type="http://schemas.openxmlformats.org/officeDocument/2006/relationships/externalLink" Target="externalLinks/externalLink78.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9.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externalLink" Target="externalLinks/externalLink68.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121" Type="http://schemas.openxmlformats.org/officeDocument/2006/relationships/pivotCacheDefinition" Target="pivotCache/pivotCacheDefinition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9.xml"/><Relationship Id="rId67" Type="http://schemas.openxmlformats.org/officeDocument/2006/relationships/externalLink" Target="externalLinks/externalLink30.xml"/><Relationship Id="rId116" Type="http://schemas.openxmlformats.org/officeDocument/2006/relationships/externalLink" Target="externalLinks/externalLink79.xml"/><Relationship Id="rId20" Type="http://schemas.openxmlformats.org/officeDocument/2006/relationships/worksheet" Target="worksheets/sheet20.xml"/><Relationship Id="rId41" Type="http://schemas.openxmlformats.org/officeDocument/2006/relationships/externalLink" Target="externalLinks/externalLink4.xml"/><Relationship Id="rId62" Type="http://schemas.openxmlformats.org/officeDocument/2006/relationships/externalLink" Target="externalLinks/externalLink25.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111" Type="http://schemas.openxmlformats.org/officeDocument/2006/relationships/externalLink" Target="externalLinks/externalLink7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0.xml"/><Relationship Id="rId106" Type="http://schemas.openxmlformats.org/officeDocument/2006/relationships/externalLink" Target="externalLinks/externalLink6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5.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878543</xdr:colOff>
      <xdr:row>473</xdr:row>
      <xdr:rowOff>152398</xdr:rowOff>
    </xdr:from>
    <xdr:to>
      <xdr:col>18</xdr:col>
      <xdr:colOff>2070851</xdr:colOff>
      <xdr:row>484</xdr:row>
      <xdr:rowOff>11842</xdr:rowOff>
    </xdr:to>
    <xdr:pic>
      <xdr:nvPicPr>
        <xdr:cNvPr id="2" name="Picture 1">
          <a:extLst>
            <a:ext uri="{FF2B5EF4-FFF2-40B4-BE49-F238E27FC236}">
              <a16:creationId xmlns:a16="http://schemas.microsoft.com/office/drawing/2014/main" id="{6B461F0F-F0A3-AC1F-91E6-38ABC0132D24}"/>
            </a:ext>
          </a:extLst>
        </xdr:cNvPr>
        <xdr:cNvPicPr>
          <a:picLocks noChangeAspect="1"/>
        </xdr:cNvPicPr>
      </xdr:nvPicPr>
      <xdr:blipFill>
        <a:blip xmlns:r="http://schemas.openxmlformats.org/officeDocument/2006/relationships" r:embed="rId1"/>
        <a:stretch>
          <a:fillRect/>
        </a:stretch>
      </xdr:blipFill>
      <xdr:spPr>
        <a:xfrm>
          <a:off x="21093955" y="117545222"/>
          <a:ext cx="5952564" cy="2434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878543</xdr:colOff>
      <xdr:row>487</xdr:row>
      <xdr:rowOff>152398</xdr:rowOff>
    </xdr:from>
    <xdr:to>
      <xdr:col>18</xdr:col>
      <xdr:colOff>2070850</xdr:colOff>
      <xdr:row>498</xdr:row>
      <xdr:rowOff>11841</xdr:rowOff>
    </xdr:to>
    <xdr:pic>
      <xdr:nvPicPr>
        <xdr:cNvPr id="2" name="Picture 1">
          <a:extLst>
            <a:ext uri="{FF2B5EF4-FFF2-40B4-BE49-F238E27FC236}">
              <a16:creationId xmlns:a16="http://schemas.microsoft.com/office/drawing/2014/main" id="{084DB604-C34A-4438-8871-BDFB6D6D440E}"/>
            </a:ext>
          </a:extLst>
        </xdr:cNvPr>
        <xdr:cNvPicPr>
          <a:picLocks noChangeAspect="1"/>
        </xdr:cNvPicPr>
      </xdr:nvPicPr>
      <xdr:blipFill>
        <a:blip xmlns:r="http://schemas.openxmlformats.org/officeDocument/2006/relationships" r:embed="rId1"/>
        <a:stretch>
          <a:fillRect/>
        </a:stretch>
      </xdr:blipFill>
      <xdr:spPr>
        <a:xfrm>
          <a:off x="24210983" y="118620538"/>
          <a:ext cx="5954807" cy="23969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236220</xdr:colOff>
      <xdr:row>0</xdr:row>
      <xdr:rowOff>30480</xdr:rowOff>
    </xdr:from>
    <xdr:to>
      <xdr:col>12</xdr:col>
      <xdr:colOff>503366</xdr:colOff>
      <xdr:row>21</xdr:row>
      <xdr:rowOff>53707</xdr:rowOff>
    </xdr:to>
    <xdr:pic>
      <xdr:nvPicPr>
        <xdr:cNvPr id="2" name="Picture 1">
          <a:extLst>
            <a:ext uri="{FF2B5EF4-FFF2-40B4-BE49-F238E27FC236}">
              <a16:creationId xmlns:a16="http://schemas.microsoft.com/office/drawing/2014/main" id="{45F3F581-76E4-06BD-6ABB-8026818A2A41}"/>
            </a:ext>
          </a:extLst>
        </xdr:cNvPr>
        <xdr:cNvPicPr>
          <a:picLocks noChangeAspect="1"/>
        </xdr:cNvPicPr>
      </xdr:nvPicPr>
      <xdr:blipFill>
        <a:blip xmlns:r="http://schemas.openxmlformats.org/officeDocument/2006/relationships" r:embed="rId1"/>
        <a:stretch>
          <a:fillRect/>
        </a:stretch>
      </xdr:blipFill>
      <xdr:spPr>
        <a:xfrm>
          <a:off x="5318760" y="30480"/>
          <a:ext cx="5143946" cy="42294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nil\c\My%20Documents\wellknown\6YrAnly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de1\c\Audit-2002\BS%20sept,%2001\Amol\AMOL%20-%20sept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uditor\D\BACKUP%20OF%20SANJAY%20SIR%20AS%20ON%2019-7-06\My%20Documents\BS%202005-2006\Lucky\Audits\Par%20Computer%20Sciences%20Ltd%20New\Par%20Computer%20Sciences%20Ltd\Capital%20Gain%20She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KSP-2006\FA2006\FAINDIAN\AUG'06\FA_INDIAN_CCCO-31.12.2005\Indian%20FA%20Books%2031-12-%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rak-pc\KSP-2006\FA2006\FAINDIAN\AUG'06\FA_INDIAN_CCCO-31.12.2005\Indian%20FA%20Books%2031-12-%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e\KSP-2006\FA2006\FAINDIAN\AUG'06\FA_INDIAN_CCCO-31.12.2005\Indian%20FA%20Books%2031-12-%20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spl\KSP-2006\FA2006\FAINDIAN\AUG'06\FA_INDIAN_CCCO-31.12.2005\Indian%20FA%20Books%2031-12-%20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4.71.78\c\Documents%20and%20Settings\Praveen\Desktop\FINANCIALS%20-%20APR02-MAR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rak-pc\word\Documents%20and%20Settings\deepakjain\Desktop\FSD\BGFL%20financial%20stat%20Marchr%2020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finalisation07\ABNL%2007\BGFL%20financial%20stat%20March%202007-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finalisation07\ABNL%2007\BSHEETMarch%2007%20(Worl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URAV\DATA\WINDOWS\TEMP\WINDOWS\TEMP\BAL59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udit%20Year%20Wise\Audit%202012\Amol%20Group\March%202012\Balance%20sheet%20(amol%20group)with%20workings\Amol\Working\Working\shyam\shyam\TDS%202006-07\eTDSRPUForm26Q_ver3.22Oct_Dec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spl\Audit%20Year%20Wise\Audit%202012\Amol%20Group\March%202012\Balance%20sheet%20(amol%20group)with%20workings\Amol\Working\Working\shyam\shyam\TDS%202006-07\eTDSRPUForm26Q_ver3.22Oct_Dec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rak-pc\Audit%20Year%20Wise\Audit%202012\Amol%20Group\March%202012\Balance%20sheet%20(amol%20group)with%20workings\Amol\Working\Working\shyam\shyam\TDS%202006-07\eTDSRPUForm26Q_ver3.22Oct_De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rchana\c\My%20Documents\archana\BKL\B2-039A%20Mann's%20Project%20Management%20Services%20Ltd\Datat%20Sent%20by%20Client\M758%20records\BRP\BRP2%2031%20MPMS%202004-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4.71.78\c\Documents%20and%20Settings\sivaguru\Local%20Settings\Temporary%20Internet%20Files\Content.IE5\OFXNYAJL\PP_Master%20Templa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enith\Malpani%20Auditor\WINDOWS\Temporary%20Internet%20Files\Content.IE5\6Y3HDB9J\Finalisation%20in%20excel_22-09-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eetu\PURU\Documents%20and%20Settings\Administrator\Desktop\Ernst%20&amp;Young\Financials\Purushothaman%20K%20.%20Gopalakrishnan\Andersen%20India%20Data\Client\Dystar\Financials\GRP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server\client%20data\Sturgess%20Hutchinson%20H2\H2-098%20E%20Taylor%20Skip%20Hire%20&amp;%20Recylcing%20Ltd\Final%20Repor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mmon\Users\acer\Favorites\Downloads\client%20data\Sturgess%20Hutchinson%20H2\H2-098%20E%20Taylor%20Skip%20Hire%20&amp;%20Recylcing%20Ltd\Final%20Repor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spl\Common\Users\acer\Favorites\Downloads\client%20data\Sturgess%20Hutchinson%20H2\H2-098%20E%20Taylor%20Skip%20Hire%20&amp;%20Recylcing%20Ltd\Final%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ternet\c\Audit-2007\Navratna-2007\Navratna%20Sushil%20Final\Navratna%20BS%20prov%20sushi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rak-pc\Common\Users\acer\Favorites\Downloads\client%20data\Sturgess%20Hutchinson%20H2\H2-098%20E%20Taylor%20Skip%20Hire%20&amp;%20Recylcing%20Ltd\Final%20Repo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rchana\c\My%20Documents\archana\B2-032%20Cassel%20Consulting%20Ltd\workings%202004-05\data%20sent%20by%20client\BRP2.31%20Cassel%208.1.04%20to%2031.12.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server\client%20data\My%20Documents\archana\B2-036%20R280%20Rick%20Smith%20Associates%20Limited\Data%20sent%20by%20client\r280%20brp\BRP%201.5.04%20to%2030.4.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mmon\Users\acer\Favorites\Downloads\client%20data\My%20Documents\archana\B2-036%20R280%20Rick%20Smith%20Associates%20Limited\Data%20sent%20by%20client\r280%20brp\BRP%201.5.04%20to%2030.4.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spl\Common\Users\acer\Favorites\Downloads\client%20data\My%20Documents\archana\B2-036%20R280%20Rick%20Smith%20Associates%20Limited\Data%20sent%20by%20client\r280%20brp\BRP%201.5.04%20to%2030.4.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rak-pc\Common\Users\acer\Favorites\Downloads\client%20data\My%20Documents\archana\B2-036%20R280%20Rick%20Smith%20Associates%20Limited\Data%20sent%20by%20client\r280%20brp\BRP%201.5.04%20to%2030.4.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is-ddc\c\Emails\Dipak\CarbonblackMi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nil\FORMATS\Report%20Format-0506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inod\C\Documents%20and%20Settings\Administrator\Desktop\ETDS\ETDS%202007\Q3\BALAN\BALAN%2026Q.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nternet\C\Audit%20Folder%2031.03.2008\Audit%20March%202008\Pradeep%20Audit\TDS%20ANNEXTURE%20FINAL\eTDS%2007-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spl\c\WINDOWS\TEMP\Bal-sh-31.03.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ppl\HAT\Documents%20and%20Settings\Administrator\Desktop\Ashish%20Dec05\Exlpla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BACKUP\DEEPAK%20JAIN\FSD\BGFL%20financial%20stat%20Marchr%20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AMLESHVIKAMSEY\Data\DATA\EXCEL\ST\ST99\GAUTA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finance\finance%20data\NA%20-%20ASKA\MIS_%20JAN%202017%20ONWARDS\MIS%20REPORT%20April%2016%20~DEC%2016.xls_%20ASD.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mspl\finance\finance%20data\NA%20-%20ASKA\MIS_%20JAN%202017%20ONWARDS\MIS%20REPORT%20April%2016%20~DEC%2016.xls_%20ASD.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rak-pc\finance\finance%20data\NA%20-%20ASKA\MIS_%20JAN%202017%20ONWARDS\MIS%20REPORT%20April%2016%20~DEC%2016.xls_%20ASD.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gfl\data1\user\manish\june2003qtrly\deftax.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user\manish\December%2004\Dec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0607\canara%20bank\Loan%20amortization-c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mspl\0607\canara%20bank\Loan%20amortization-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vi\c\FIN2\RAVI\TAXAUDIT\DEPIT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rak-pc\0607\canara%20bank\Loan%20amortization-c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JMERA\DATA\My%20Documents\Finalisation\BS%20WORK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AURAV\DATA\WINDOWS\DESKTOP\HLL-FILTER-gaurav.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JMERA\DATA\DATA\Audit-2001\Ajit\AMOL\FINAL%20FOLDER\amol-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JMERA\DATA\DATA\Audit-2001\Ajit\AMOL\FINAL%20FOLDER\mai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omp1\c\WINDOWS\TEMP\prov.%20balsheet31.3.03%20uw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Fixed-Asset-Register_CA2013-V3.0-TAXGURU.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ct-old\d\Audit\Tax%20Audit%202006\P&amp;%20Q.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ril-hyperion\d\WINDOWS\Temporary%20Internet%20Files\OLK80A6\RAJNI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mp1\c\backup%20c\Annual%20Report\Audit\Stock\Copy%20of%20stock%20work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ak-pc\word\Documents%20and%20Settings\administrator\Local%20Settings\Temporary%20Internet%20Files\Content.IE5\7C88GHDK\march2002-tax%20account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spl\c\CHANVIM%20GROUP\CHANVIM%20PLASTICS\Audit%202003\Annual%20Report\prov.%20balsheet31.3.03%20uw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ILSERVER\Mahesh\Audit\audit_01-02\BS_PL_rep\TB_01_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ocuments%20and%20Settings\mhnh\My%20Documents\2001\Asia%20Pacific\Plan\5Y_v2.1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92.168.1.4\kdocicai$\SHAILENDRA%20Dwivedi\block\Annual%20Report\2006-2007\NUVO\New%20Folder\BS%20March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achine2\d\Documents%20and%20Settings\abc\Local%20Settings\Temporary%20Internet%20Files\Content.IE5\87U5HPI7\N%20Backup\Audit-2006\Amol\AUDIT310306\AMOL\BALANCE_SHEET_3132006-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rathmes\d\J%20VISH\Documents%20and%20Settings\deepali\Local%20Settings\Temporary%20Internet%20Files\Content.IE5\EFQJADAR\Documents%20and%20Settings\oprater\Local%20Settings\Temporary%20Internet%20Files\Content.IE5\A1GJI501\Documents%20"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spl\c\Audit-2003\Ramanuj\Annual%20Report\final%20balsheet%20ramanuj.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data\Documents%20and%20Settings\administrator\Local%20Settings\Temporary%20Internet%20Files\Content.IE5\7C88GHDK\march2002-tax%20accoun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rak-pc\Audit%20Year%20Wise\Audit%202012\Annapurna\WORKINGS\audit%202012\Annual%20report\Annapurna_Final_March_2012%20220920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server\Audit%20Year%20Wise\Audit%202013\Annapurna\Annapurna%20New\MARCH%202013\FINAL%20SET\Final%20Set\Annapurna%20%20BS%20Final%2016.08.13%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gfl\DATA1\Audit-F.Y.2003-04\24a%20&amp;%2024b%20-%20Site%20-%2014.08.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Audit%20Reports/2022-23/Hardoli%20Paper%20Mills%20Ltd/Q4%20Final/BSPL/Previous%20Year/FInal%20BSPL%20March2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mspl\e\Q4%20FInal\Working\Division%20I%20Amended%20Sch%20III%20to%20CA%202013.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udit%20Reports\2019-20\Hardoli%20Paper%20Mills%20Limited\Final%201920\Bsheet\BS30062020%20Final.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rak-server-pc\d\Audit%20Reports\2020-21\Hardoli%20Paper%20Mills%20Pvt%20Ltd\Audit%202021\FInal\FInal%20BS20202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mspl\Audit%20Reports\2022-23\Hardoli%20Paper%20Mills%20Ltd\Q4%20Final\BSPL\FInal%20BSPL%20March2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mspl\Audit%20Reports\2022-23\Hardoli%20Paper%20Mills%20Ltd\Q4%20Final\BSPL\March%2023%20BSPL%2025052023.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mspl\Audit%20Reports\2022-23\Hardoli%20Paper%20Mills%20Ltd\Q4%20Final\Aging%20Analysis\CR%20Ageing%2022-23.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mspl\Audit%20Reports\2021-22\Hardoli%20Paper%20Mills%20Ltd\Q2\Draft%20BS%20PL%20HY%20-%20Hardoli.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mspl\Audit%20Reports\2021-22\Hardoli%20Paper%20Mills%20Ltd\Quaterly%20Results\Q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rak-pc\Hardoli%20Paper%20Mills%20Ltd%20Final\BS\FINAL%20BAL%20SHEET%20HARDOL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rak-pc\word\Documents%20and%20Settings\Praveen\Desktop\FINANCIALS%20-%20APR02-MAR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xed%20Asset%20Register0805202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spl\Q4%20FInal\BSPL\Fixed%20Asset%20Register%20Final.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mspl\Audit%20Reports\2022-23\Hardoli%20Paper%20Mills%20Ltd\Q4%20Final\BSPL\Previous%20Year\FInal%20BSPL%20March2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rak-pc\Hardoli%20Paper%20Mills%20Ltd%20Final\Final%20_HPML%20BS%20March%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k-pc\word\Backup\Balance%20Sheet%202006-07\WINDOWS\Temporary%20Internet%20Files\OLKB086\P_SEG_C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wpl"/>
      <sheetName val="wtil"/>
      <sheetName val="combined"/>
      <sheetName val="Bal Sht &amp; P&amp;L"/>
      <sheetName val="Challan"/>
      <sheetName val="Bal_Sht_&amp;_P&amp;L1"/>
      <sheetName val="Bal_Sht_&amp;_P&amp;L"/>
      <sheetName val="Bal_Sht_&amp;_P&amp;L2"/>
    </sheetNames>
    <sheetDataSet>
      <sheetData sheetId="0" refreshError="1"/>
      <sheetData sheetId="1">
        <row r="2">
          <cell r="B2" t="str">
            <v>WELLKNOWN  POLYESTERS LTD.</v>
          </cell>
        </row>
        <row r="3">
          <cell r="B3" t="str">
            <v>-</v>
          </cell>
          <cell r="C3" t="str">
            <v>-</v>
          </cell>
          <cell r="D3" t="str">
            <v>-</v>
          </cell>
          <cell r="E3">
            <v>0</v>
          </cell>
          <cell r="F3">
            <v>0</v>
          </cell>
          <cell r="G3">
            <v>0</v>
          </cell>
          <cell r="H3">
            <v>0</v>
          </cell>
        </row>
        <row r="4">
          <cell r="B4" t="str">
            <v>BALANCE    SHEET     FOR    LAST    SIX  YEARS</v>
          </cell>
        </row>
        <row r="6">
          <cell r="B6" t="str">
            <v>-</v>
          </cell>
          <cell r="C6" t="str">
            <v>-</v>
          </cell>
          <cell r="D6" t="str">
            <v>-</v>
          </cell>
          <cell r="E6" t="str">
            <v>-</v>
          </cell>
          <cell r="F6" t="str">
            <v>-</v>
          </cell>
          <cell r="G6" t="str">
            <v>-</v>
          </cell>
          <cell r="H6" t="str">
            <v>-</v>
          </cell>
        </row>
        <row r="7">
          <cell r="B7" t="str">
            <v>PARTICULARS</v>
          </cell>
          <cell r="C7" t="str">
            <v>1997-98</v>
          </cell>
          <cell r="D7" t="str">
            <v>1998-99</v>
          </cell>
          <cell r="E7" t="str">
            <v>1999-00</v>
          </cell>
          <cell r="F7" t="str">
            <v>2000-01</v>
          </cell>
          <cell r="G7" t="str">
            <v>2001-02</v>
          </cell>
          <cell r="H7" t="str">
            <v>2002-03</v>
          </cell>
        </row>
        <row r="8">
          <cell r="B8" t="str">
            <v>-</v>
          </cell>
          <cell r="C8" t="str">
            <v>-</v>
          </cell>
          <cell r="D8" t="str">
            <v>-</v>
          </cell>
          <cell r="E8" t="str">
            <v>-</v>
          </cell>
          <cell r="F8" t="str">
            <v>-</v>
          </cell>
          <cell r="G8" t="str">
            <v>-</v>
          </cell>
          <cell r="H8" t="str">
            <v>-</v>
          </cell>
        </row>
        <row r="9">
          <cell r="B9" t="str">
            <v>SOURCES OF  FUNDS</v>
          </cell>
        </row>
        <row r="11">
          <cell r="B11" t="str">
            <v>Shareholders' Funds</v>
          </cell>
        </row>
        <row r="13">
          <cell r="B13" t="str">
            <v>a. Share  Capital</v>
          </cell>
          <cell r="C13">
            <v>32.729999999999997</v>
          </cell>
          <cell r="D13">
            <v>35.229999999999997</v>
          </cell>
          <cell r="E13">
            <v>35.229999999999997</v>
          </cell>
          <cell r="F13">
            <v>32.729999999999997</v>
          </cell>
          <cell r="G13">
            <v>32.729999999999997</v>
          </cell>
          <cell r="H13">
            <v>50.73</v>
          </cell>
        </row>
        <row r="14">
          <cell r="B14" t="str">
            <v xml:space="preserve">    Growth  %</v>
          </cell>
          <cell r="D14">
            <v>7.6382523678582351E-2</v>
          </cell>
          <cell r="E14">
            <v>0</v>
          </cell>
          <cell r="F14">
            <v>-7.0962248084019311E-2</v>
          </cell>
          <cell r="G14">
            <v>0</v>
          </cell>
          <cell r="H14">
            <v>0.54995417048579287</v>
          </cell>
        </row>
        <row r="16">
          <cell r="B16" t="str">
            <v>b. Share Application  Money</v>
          </cell>
          <cell r="C16">
            <v>0</v>
          </cell>
          <cell r="D16">
            <v>0</v>
          </cell>
          <cell r="E16">
            <v>0</v>
          </cell>
          <cell r="F16">
            <v>0</v>
          </cell>
          <cell r="G16">
            <v>0</v>
          </cell>
          <cell r="H16">
            <v>0</v>
          </cell>
        </row>
        <row r="17">
          <cell r="C17">
            <v>0</v>
          </cell>
          <cell r="D17">
            <v>0</v>
          </cell>
          <cell r="E17">
            <v>0</v>
          </cell>
          <cell r="F17">
            <v>0</v>
          </cell>
          <cell r="G17">
            <v>0</v>
          </cell>
          <cell r="H17">
            <v>0</v>
          </cell>
        </row>
        <row r="18">
          <cell r="B18" t="str">
            <v>c. Reserves and Surplus</v>
          </cell>
          <cell r="C18">
            <v>138.5</v>
          </cell>
          <cell r="D18">
            <v>219.18</v>
          </cell>
          <cell r="E18">
            <v>282.08999999999997</v>
          </cell>
          <cell r="F18">
            <v>258.01</v>
          </cell>
          <cell r="G18">
            <v>367.36700000000002</v>
          </cell>
          <cell r="H18">
            <v>868.21699999999998</v>
          </cell>
        </row>
        <row r="19">
          <cell r="B19" t="str">
            <v xml:space="preserve">    Growth  %</v>
          </cell>
          <cell r="D19">
            <v>0.58252707581227436</v>
          </cell>
          <cell r="E19">
            <v>0.28702436353681887</v>
          </cell>
          <cell r="F19">
            <v>-8.5362827466411384E-2</v>
          </cell>
          <cell r="G19">
            <v>0.42384791287159423</v>
          </cell>
          <cell r="H19">
            <v>1.3633505459118536</v>
          </cell>
        </row>
        <row r="21">
          <cell r="C21" t="str">
            <v>-</v>
          </cell>
          <cell r="D21" t="str">
            <v>-</v>
          </cell>
          <cell r="E21" t="str">
            <v>-</v>
          </cell>
          <cell r="F21" t="str">
            <v>-</v>
          </cell>
          <cell r="G21" t="str">
            <v>-</v>
          </cell>
          <cell r="H21" t="str">
            <v>-</v>
          </cell>
        </row>
        <row r="22">
          <cell r="C22">
            <v>171.23</v>
          </cell>
          <cell r="D22">
            <v>254.41</v>
          </cell>
          <cell r="E22">
            <v>317.32</v>
          </cell>
          <cell r="F22">
            <v>290.74</v>
          </cell>
          <cell r="G22">
            <v>400.09700000000004</v>
          </cell>
          <cell r="H22">
            <v>918.947</v>
          </cell>
        </row>
        <row r="23">
          <cell r="C23" t="str">
            <v>-</v>
          </cell>
          <cell r="D23" t="str">
            <v>-</v>
          </cell>
          <cell r="E23" t="str">
            <v>-</v>
          </cell>
          <cell r="F23" t="str">
            <v>-</v>
          </cell>
          <cell r="G23" t="str">
            <v>-</v>
          </cell>
          <cell r="H23" t="str">
            <v>-</v>
          </cell>
        </row>
        <row r="24">
          <cell r="B24" t="str">
            <v>Loan  Funds</v>
          </cell>
          <cell r="C24">
            <v>0</v>
          </cell>
          <cell r="D24">
            <v>0</v>
          </cell>
          <cell r="E24">
            <v>0</v>
          </cell>
          <cell r="F24">
            <v>0</v>
          </cell>
          <cell r="G24">
            <v>0</v>
          </cell>
          <cell r="H24">
            <v>0</v>
          </cell>
        </row>
        <row r="26">
          <cell r="B26" t="str">
            <v>a. Secured  Loans</v>
          </cell>
          <cell r="C26">
            <v>312.99</v>
          </cell>
          <cell r="D26">
            <v>373.2</v>
          </cell>
          <cell r="E26">
            <v>445.56</v>
          </cell>
          <cell r="F26">
            <v>184.79</v>
          </cell>
          <cell r="G26">
            <v>395.6</v>
          </cell>
          <cell r="H26">
            <v>852.10500000000002</v>
          </cell>
        </row>
        <row r="27">
          <cell r="B27" t="str">
            <v xml:space="preserve">    Growth  %</v>
          </cell>
          <cell r="D27">
            <v>0.19237036327039195</v>
          </cell>
          <cell r="E27">
            <v>0.19389067524115761</v>
          </cell>
          <cell r="F27">
            <v>-0.58526348864350475</v>
          </cell>
          <cell r="G27">
            <v>1.1408084853076468</v>
          </cell>
          <cell r="H27">
            <v>1.1539560161779574</v>
          </cell>
        </row>
        <row r="29">
          <cell r="B29" t="str">
            <v>b.  Unsecured  Loans</v>
          </cell>
          <cell r="C29">
            <v>18.25</v>
          </cell>
          <cell r="D29">
            <v>115.25</v>
          </cell>
          <cell r="E29">
            <v>30.5</v>
          </cell>
          <cell r="F29">
            <v>0</v>
          </cell>
          <cell r="G29">
            <v>0</v>
          </cell>
          <cell r="H29">
            <v>13.885</v>
          </cell>
        </row>
        <row r="30">
          <cell r="C30" t="str">
            <v>-</v>
          </cell>
          <cell r="D30" t="str">
            <v>-</v>
          </cell>
          <cell r="E30" t="str">
            <v>-</v>
          </cell>
          <cell r="F30" t="str">
            <v>-</v>
          </cell>
          <cell r="G30" t="str">
            <v>-</v>
          </cell>
          <cell r="H30" t="str">
            <v>-</v>
          </cell>
        </row>
        <row r="31">
          <cell r="C31">
            <v>331.24</v>
          </cell>
          <cell r="D31">
            <v>488.45</v>
          </cell>
          <cell r="E31">
            <v>476.06</v>
          </cell>
          <cell r="F31">
            <v>184.79</v>
          </cell>
          <cell r="G31">
            <v>395.6</v>
          </cell>
          <cell r="H31">
            <v>865.99</v>
          </cell>
        </row>
        <row r="32">
          <cell r="C32" t="str">
            <v>-</v>
          </cell>
          <cell r="D32" t="str">
            <v>-</v>
          </cell>
          <cell r="E32" t="str">
            <v>-</v>
          </cell>
          <cell r="F32" t="str">
            <v>-</v>
          </cell>
          <cell r="G32" t="str">
            <v>-</v>
          </cell>
          <cell r="H32" t="str">
            <v>-</v>
          </cell>
        </row>
        <row r="34">
          <cell r="C34" t="str">
            <v>-</v>
          </cell>
          <cell r="D34" t="str">
            <v>-</v>
          </cell>
          <cell r="E34" t="str">
            <v>-</v>
          </cell>
          <cell r="F34" t="str">
            <v>-</v>
          </cell>
          <cell r="G34" t="str">
            <v>-</v>
          </cell>
          <cell r="H34" t="str">
            <v>-</v>
          </cell>
        </row>
        <row r="35">
          <cell r="B35" t="str">
            <v>TOTAL</v>
          </cell>
          <cell r="C35">
            <v>502.47</v>
          </cell>
          <cell r="D35">
            <v>742.86</v>
          </cell>
          <cell r="E35">
            <v>793.38</v>
          </cell>
          <cell r="F35">
            <v>475.53</v>
          </cell>
          <cell r="G35">
            <v>795.69700000000012</v>
          </cell>
          <cell r="H35">
            <v>1784.9369999999999</v>
          </cell>
        </row>
        <row r="36">
          <cell r="C36" t="str">
            <v>=</v>
          </cell>
          <cell r="D36" t="str">
            <v>=</v>
          </cell>
          <cell r="E36" t="str">
            <v>=</v>
          </cell>
          <cell r="F36" t="str">
            <v>=</v>
          </cell>
          <cell r="G36" t="str">
            <v>=</v>
          </cell>
          <cell r="H36" t="str">
            <v>=</v>
          </cell>
        </row>
        <row r="38">
          <cell r="B38" t="str">
            <v>APPLICATION  OF  FUNDS</v>
          </cell>
        </row>
        <row r="40">
          <cell r="B40" t="str">
            <v>Fixed  Assets</v>
          </cell>
        </row>
        <row r="42">
          <cell r="B42" t="str">
            <v>Gross  Block</v>
          </cell>
          <cell r="C42">
            <v>314.74</v>
          </cell>
          <cell r="D42">
            <v>452.29</v>
          </cell>
          <cell r="E42">
            <v>453.95</v>
          </cell>
          <cell r="F42">
            <v>460.74</v>
          </cell>
          <cell r="G42">
            <v>813.14</v>
          </cell>
          <cell r="H42">
            <v>1436.258</v>
          </cell>
        </row>
        <row r="43">
          <cell r="B43" t="str">
            <v>Growth  %</v>
          </cell>
          <cell r="D43">
            <v>0.43702738768507343</v>
          </cell>
          <cell r="E43">
            <v>3.6702115899090587E-3</v>
          </cell>
          <cell r="F43">
            <v>1.4957594448727879E-2</v>
          </cell>
          <cell r="G43">
            <v>0.76485653513912399</v>
          </cell>
          <cell r="H43">
            <v>0.76631084438104147</v>
          </cell>
        </row>
        <row r="44">
          <cell r="B44">
            <v>0</v>
          </cell>
        </row>
        <row r="45">
          <cell r="B45" t="str">
            <v>Less: Depreciation</v>
          </cell>
          <cell r="C45">
            <v>15.99</v>
          </cell>
          <cell r="D45">
            <v>33.44</v>
          </cell>
          <cell r="E45">
            <v>57.4</v>
          </cell>
          <cell r="F45">
            <v>190.97</v>
          </cell>
          <cell r="G45">
            <v>265.17</v>
          </cell>
          <cell r="H45">
            <v>325.17399999999998</v>
          </cell>
        </row>
        <row r="46">
          <cell r="C46" t="str">
            <v>-</v>
          </cell>
          <cell r="D46" t="str">
            <v>-</v>
          </cell>
          <cell r="E46" t="str">
            <v>-</v>
          </cell>
          <cell r="F46" t="str">
            <v>-</v>
          </cell>
          <cell r="G46" t="str">
            <v>-</v>
          </cell>
          <cell r="H46" t="str">
            <v>-</v>
          </cell>
        </row>
        <row r="47">
          <cell r="B47" t="str">
            <v>Net  Block</v>
          </cell>
          <cell r="C47">
            <v>298.75</v>
          </cell>
          <cell r="D47">
            <v>418.85</v>
          </cell>
          <cell r="E47">
            <v>396.55</v>
          </cell>
          <cell r="F47">
            <v>269.77</v>
          </cell>
          <cell r="G47">
            <v>547.97</v>
          </cell>
          <cell r="H47">
            <v>1111.0840000000001</v>
          </cell>
        </row>
        <row r="49">
          <cell r="B49" t="str">
            <v>Investments</v>
          </cell>
          <cell r="C49">
            <v>44.5</v>
          </cell>
          <cell r="D49">
            <v>56.4</v>
          </cell>
          <cell r="E49">
            <v>0.4</v>
          </cell>
          <cell r="F49">
            <v>0.4</v>
          </cell>
          <cell r="G49">
            <v>0.4</v>
          </cell>
          <cell r="H49">
            <v>173</v>
          </cell>
        </row>
        <row r="50">
          <cell r="B50" t="str">
            <v>Growth  %</v>
          </cell>
          <cell r="D50">
            <v>0.26741573033707861</v>
          </cell>
          <cell r="E50">
            <v>-0.99290780141843971</v>
          </cell>
          <cell r="F50">
            <v>0</v>
          </cell>
          <cell r="G50">
            <v>0</v>
          </cell>
          <cell r="H50">
            <v>431.49999999999994</v>
          </cell>
        </row>
        <row r="52">
          <cell r="B52" t="str">
            <v>Current Assets, Loans &amp; Advances</v>
          </cell>
        </row>
        <row r="54">
          <cell r="B54" t="str">
            <v>a. Inventories</v>
          </cell>
          <cell r="C54">
            <v>45.33</v>
          </cell>
          <cell r="D54">
            <v>53.25</v>
          </cell>
          <cell r="E54">
            <v>41.57</v>
          </cell>
          <cell r="F54">
            <v>58.55</v>
          </cell>
          <cell r="G54">
            <v>130.61000000000001</v>
          </cell>
          <cell r="H54">
            <v>288.3</v>
          </cell>
        </row>
        <row r="56">
          <cell r="B56" t="str">
            <v>b. Sundry  Debtors</v>
          </cell>
          <cell r="C56">
            <v>52.62</v>
          </cell>
          <cell r="D56">
            <v>41.46</v>
          </cell>
          <cell r="E56">
            <v>105.17</v>
          </cell>
          <cell r="F56">
            <v>100.47</v>
          </cell>
          <cell r="G56">
            <v>87.53</v>
          </cell>
          <cell r="H56">
            <v>95.6</v>
          </cell>
        </row>
        <row r="58">
          <cell r="B58" t="str">
            <v>c.  Cash &amp; Bank Balances</v>
          </cell>
          <cell r="C58">
            <v>25.15</v>
          </cell>
          <cell r="D58">
            <v>37.33</v>
          </cell>
          <cell r="E58">
            <v>23.84</v>
          </cell>
          <cell r="F58">
            <v>11.56</v>
          </cell>
          <cell r="G58">
            <v>1.54</v>
          </cell>
          <cell r="H58">
            <v>2.4700000000000002</v>
          </cell>
        </row>
        <row r="60">
          <cell r="B60" t="str">
            <v>d.  Loans &amp;  Advances</v>
          </cell>
          <cell r="C60">
            <v>40.089999999999996</v>
          </cell>
          <cell r="D60">
            <v>135.42000000000002</v>
          </cell>
          <cell r="E60">
            <v>257.35000000000002</v>
          </cell>
          <cell r="F60">
            <v>61.674999999999997</v>
          </cell>
          <cell r="G60">
            <v>112.2</v>
          </cell>
          <cell r="H60">
            <v>75.19</v>
          </cell>
        </row>
        <row r="62">
          <cell r="B62" t="str">
            <v>e.  Deposits</v>
          </cell>
          <cell r="C62">
            <v>31.54</v>
          </cell>
          <cell r="D62">
            <v>31.63</v>
          </cell>
          <cell r="E62">
            <v>1.63</v>
          </cell>
          <cell r="F62">
            <v>1.645</v>
          </cell>
          <cell r="G62">
            <v>1.81</v>
          </cell>
          <cell r="H62">
            <v>106.12</v>
          </cell>
        </row>
        <row r="64">
          <cell r="B64" t="str">
            <v>f. Trade  Investments</v>
          </cell>
          <cell r="C64">
            <v>0</v>
          </cell>
          <cell r="D64">
            <v>0</v>
          </cell>
          <cell r="E64">
            <v>0</v>
          </cell>
          <cell r="F64">
            <v>0</v>
          </cell>
          <cell r="G64">
            <v>0</v>
          </cell>
          <cell r="H64">
            <v>0</v>
          </cell>
        </row>
        <row r="65">
          <cell r="C65" t="str">
            <v>-</v>
          </cell>
          <cell r="D65" t="str">
            <v>-</v>
          </cell>
          <cell r="E65" t="str">
            <v>-</v>
          </cell>
          <cell r="F65" t="str">
            <v>-</v>
          </cell>
          <cell r="G65" t="str">
            <v>-</v>
          </cell>
          <cell r="H65" t="str">
            <v>-</v>
          </cell>
        </row>
        <row r="66">
          <cell r="C66">
            <v>194.73</v>
          </cell>
          <cell r="D66">
            <v>299.09000000000003</v>
          </cell>
          <cell r="E66">
            <v>429.56000000000006</v>
          </cell>
          <cell r="F66">
            <v>233.9</v>
          </cell>
          <cell r="G66">
            <v>333.69</v>
          </cell>
          <cell r="H66">
            <v>567.68000000000006</v>
          </cell>
        </row>
        <row r="68">
          <cell r="B68" t="str">
            <v>Less: Current  Liabilities</v>
          </cell>
          <cell r="C68">
            <v>35.5</v>
          </cell>
          <cell r="D68">
            <v>31.48</v>
          </cell>
          <cell r="E68">
            <v>33.119999999999997</v>
          </cell>
          <cell r="F68">
            <v>28.53</v>
          </cell>
          <cell r="G68">
            <v>86.375</v>
          </cell>
          <cell r="H68">
            <v>66.83</v>
          </cell>
        </row>
        <row r="69">
          <cell r="C69" t="str">
            <v>-</v>
          </cell>
          <cell r="D69" t="str">
            <v>-</v>
          </cell>
          <cell r="E69" t="str">
            <v>-</v>
          </cell>
          <cell r="F69" t="str">
            <v>-</v>
          </cell>
          <cell r="G69" t="str">
            <v>-</v>
          </cell>
          <cell r="H69" t="str">
            <v>-</v>
          </cell>
        </row>
        <row r="70">
          <cell r="B70" t="str">
            <v>Net  Current  Assets</v>
          </cell>
          <cell r="C70">
            <v>159.22999999999999</v>
          </cell>
          <cell r="D70">
            <v>267.61</v>
          </cell>
          <cell r="E70">
            <v>396.44000000000005</v>
          </cell>
          <cell r="F70">
            <v>205.37</v>
          </cell>
          <cell r="G70">
            <v>247.315</v>
          </cell>
          <cell r="H70">
            <v>500.85000000000008</v>
          </cell>
        </row>
        <row r="72">
          <cell r="B72" t="str">
            <v>Miscellaneous Expenditure</v>
          </cell>
          <cell r="C72">
            <v>0</v>
          </cell>
          <cell r="D72">
            <v>0</v>
          </cell>
          <cell r="E72">
            <v>0</v>
          </cell>
          <cell r="F72">
            <v>0</v>
          </cell>
          <cell r="G72">
            <v>0</v>
          </cell>
          <cell r="H72">
            <v>0</v>
          </cell>
        </row>
        <row r="74">
          <cell r="B74" t="str">
            <v>(to the extent not written off or adjusted)</v>
          </cell>
        </row>
        <row r="76">
          <cell r="B76" t="str">
            <v>Preliminary  Expenses</v>
          </cell>
          <cell r="C76">
            <v>0</v>
          </cell>
          <cell r="D76">
            <v>0</v>
          </cell>
          <cell r="E76">
            <v>0</v>
          </cell>
          <cell r="F76">
            <v>0</v>
          </cell>
          <cell r="G76">
            <v>0</v>
          </cell>
          <cell r="H76">
            <v>0</v>
          </cell>
        </row>
        <row r="78">
          <cell r="B78" t="str">
            <v>Deferred  Revenue  Expenditure</v>
          </cell>
          <cell r="C78">
            <v>0</v>
          </cell>
          <cell r="D78">
            <v>0</v>
          </cell>
          <cell r="E78">
            <v>0</v>
          </cell>
          <cell r="F78">
            <v>0</v>
          </cell>
          <cell r="G78">
            <v>0</v>
          </cell>
          <cell r="H78">
            <v>0</v>
          </cell>
        </row>
        <row r="80">
          <cell r="C80" t="str">
            <v>-</v>
          </cell>
          <cell r="D80" t="str">
            <v>-</v>
          </cell>
          <cell r="E80" t="str">
            <v>-</v>
          </cell>
          <cell r="F80" t="str">
            <v>-</v>
          </cell>
          <cell r="G80" t="str">
            <v>-</v>
          </cell>
          <cell r="H80" t="str">
            <v>-</v>
          </cell>
        </row>
        <row r="81">
          <cell r="B81" t="str">
            <v>TOTAL….</v>
          </cell>
          <cell r="C81">
            <v>502.48</v>
          </cell>
          <cell r="D81">
            <v>742.86</v>
          </cell>
          <cell r="E81">
            <v>793.3900000000001</v>
          </cell>
          <cell r="F81">
            <v>475.53999999999996</v>
          </cell>
          <cell r="G81">
            <v>795.68499999999995</v>
          </cell>
          <cell r="H81">
            <v>1784.9340000000002</v>
          </cell>
        </row>
        <row r="82">
          <cell r="C82" t="str">
            <v>=</v>
          </cell>
          <cell r="D82" t="str">
            <v>=</v>
          </cell>
          <cell r="E82" t="str">
            <v>=</v>
          </cell>
          <cell r="F82" t="str">
            <v>=</v>
          </cell>
          <cell r="G82" t="str">
            <v>=</v>
          </cell>
          <cell r="H82" t="str">
            <v>=</v>
          </cell>
        </row>
        <row r="87">
          <cell r="B87" t="str">
            <v>PROFIT  AND  LOSS  ACCOUNT  FOR  LAST SIX YEARS</v>
          </cell>
        </row>
        <row r="89">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row>
        <row r="90">
          <cell r="B90" t="str">
            <v>PARTICULARS</v>
          </cell>
          <cell r="C90" t="str">
            <v>%</v>
          </cell>
          <cell r="D90" t="str">
            <v>1997-98</v>
          </cell>
          <cell r="E90" t="str">
            <v>%</v>
          </cell>
          <cell r="F90" t="str">
            <v>1998-99</v>
          </cell>
          <cell r="G90" t="str">
            <v>%</v>
          </cell>
          <cell r="H90" t="str">
            <v>1999-00</v>
          </cell>
          <cell r="I90" t="str">
            <v>%</v>
          </cell>
          <cell r="J90" t="str">
            <v>2000-01</v>
          </cell>
          <cell r="K90" t="str">
            <v>%</v>
          </cell>
          <cell r="L90" t="str">
            <v>2001-02</v>
          </cell>
          <cell r="M90" t="str">
            <v>%</v>
          </cell>
          <cell r="N90" t="str">
            <v>2002-03</v>
          </cell>
        </row>
        <row r="91">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row>
        <row r="92">
          <cell r="B92" t="str">
            <v>INCOME</v>
          </cell>
        </row>
        <row r="94">
          <cell r="B94" t="str">
            <v>Sales</v>
          </cell>
          <cell r="D94">
            <v>1364.28</v>
          </cell>
          <cell r="F94">
            <v>1093.98</v>
          </cell>
          <cell r="H94">
            <v>2217.7800000000002</v>
          </cell>
          <cell r="J94">
            <v>2628.58</v>
          </cell>
          <cell r="L94">
            <v>3089.9</v>
          </cell>
          <cell r="N94">
            <v>4555.9579999999996</v>
          </cell>
        </row>
        <row r="96">
          <cell r="B96" t="str">
            <v xml:space="preserve">Other  Income </v>
          </cell>
          <cell r="D96">
            <v>0</v>
          </cell>
          <cell r="F96">
            <v>0.04</v>
          </cell>
          <cell r="H96">
            <v>3.14</v>
          </cell>
          <cell r="J96">
            <v>0.33</v>
          </cell>
          <cell r="L96">
            <v>0.09</v>
          </cell>
          <cell r="N96">
            <v>0.09</v>
          </cell>
        </row>
        <row r="98">
          <cell r="B98" t="str">
            <v>Increase/(Decrease)  in Stocks</v>
          </cell>
          <cell r="D98">
            <v>15.22</v>
          </cell>
          <cell r="F98">
            <v>12.21</v>
          </cell>
          <cell r="H98">
            <v>1.32</v>
          </cell>
          <cell r="J98">
            <v>8.74</v>
          </cell>
          <cell r="L98">
            <v>21.32</v>
          </cell>
          <cell r="N98">
            <v>210.63900000000001</v>
          </cell>
        </row>
        <row r="99">
          <cell r="C99" t="str">
            <v>-</v>
          </cell>
          <cell r="D99" t="str">
            <v>-</v>
          </cell>
          <cell r="E99" t="str">
            <v>-</v>
          </cell>
          <cell r="F99" t="str">
            <v>-</v>
          </cell>
          <cell r="G99" t="str">
            <v>-</v>
          </cell>
          <cell r="H99" t="str">
            <v>-</v>
          </cell>
          <cell r="I99" t="str">
            <v>-</v>
          </cell>
          <cell r="J99" t="str">
            <v>-</v>
          </cell>
          <cell r="K99" t="str">
            <v>-</v>
          </cell>
          <cell r="L99" t="str">
            <v>-</v>
          </cell>
          <cell r="M99" t="str">
            <v>-</v>
          </cell>
          <cell r="N99" t="str">
            <v>-</v>
          </cell>
        </row>
        <row r="100">
          <cell r="B100" t="str">
            <v>TOTAL  INCOME</v>
          </cell>
          <cell r="C100">
            <v>1</v>
          </cell>
          <cell r="D100">
            <v>1379.5</v>
          </cell>
          <cell r="E100">
            <v>1</v>
          </cell>
          <cell r="F100">
            <v>1106.23</v>
          </cell>
          <cell r="G100">
            <v>1</v>
          </cell>
          <cell r="H100">
            <v>2222.2400000000002</v>
          </cell>
          <cell r="I100">
            <v>1</v>
          </cell>
          <cell r="J100">
            <v>2637.6499999999996</v>
          </cell>
          <cell r="K100">
            <v>1</v>
          </cell>
          <cell r="L100">
            <v>3111.3100000000004</v>
          </cell>
          <cell r="M100">
            <v>1</v>
          </cell>
          <cell r="N100">
            <v>4766.6869999999999</v>
          </cell>
        </row>
        <row r="101">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row>
        <row r="103">
          <cell r="B103" t="str">
            <v>EXPENDITURE</v>
          </cell>
        </row>
        <row r="105">
          <cell r="B105" t="str">
            <v>Raw  Material  Consumed   Including</v>
          </cell>
          <cell r="C105">
            <v>0.7819479159115621</v>
          </cell>
          <cell r="D105">
            <v>1078.69715</v>
          </cell>
          <cell r="E105">
            <v>0.75757842401670539</v>
          </cell>
          <cell r="F105">
            <v>838.05597999999998</v>
          </cell>
          <cell r="G105">
            <v>0.81363849089207274</v>
          </cell>
          <cell r="H105">
            <v>1808.1</v>
          </cell>
          <cell r="I105">
            <v>0.81777339677364336</v>
          </cell>
          <cell r="J105">
            <v>2157</v>
          </cell>
          <cell r="K105">
            <v>0.81512610443832323</v>
          </cell>
          <cell r="L105">
            <v>2536.1099999999997</v>
          </cell>
          <cell r="M105">
            <v>0.81766371486107647</v>
          </cell>
          <cell r="N105">
            <v>3897.547</v>
          </cell>
        </row>
        <row r="106">
          <cell r="B106" t="str">
            <v>Excise  Duty</v>
          </cell>
        </row>
        <row r="107">
          <cell r="C107">
            <v>0</v>
          </cell>
          <cell r="E107">
            <v>0</v>
          </cell>
          <cell r="G107">
            <v>0</v>
          </cell>
          <cell r="I107">
            <v>0</v>
          </cell>
          <cell r="K107">
            <v>0</v>
          </cell>
          <cell r="M107">
            <v>0</v>
          </cell>
        </row>
        <row r="108">
          <cell r="B108" t="str">
            <v>Power &amp; Fuel</v>
          </cell>
          <cell r="C108">
            <v>4.4102935846321134E-2</v>
          </cell>
          <cell r="D108">
            <v>60.84</v>
          </cell>
          <cell r="E108">
            <v>5.2819034016434195E-2</v>
          </cell>
          <cell r="F108">
            <v>58.43</v>
          </cell>
          <cell r="G108">
            <v>5.3342573259413925E-2</v>
          </cell>
          <cell r="H108">
            <v>118.54</v>
          </cell>
          <cell r="I108">
            <v>4.1286751464371704E-2</v>
          </cell>
          <cell r="J108">
            <v>108.9</v>
          </cell>
          <cell r="K108">
            <v>5.245378956131018E-2</v>
          </cell>
          <cell r="L108">
            <v>163.19999999999999</v>
          </cell>
          <cell r="M108">
            <v>4.1888632503036177E-2</v>
          </cell>
          <cell r="N108">
            <v>199.67</v>
          </cell>
        </row>
        <row r="109">
          <cell r="G109">
            <v>0</v>
          </cell>
          <cell r="I109">
            <v>0</v>
          </cell>
          <cell r="K109">
            <v>0</v>
          </cell>
          <cell r="M109">
            <v>0</v>
          </cell>
        </row>
        <row r="110">
          <cell r="B110" t="str">
            <v>Other  Manufacturing   Expenses</v>
          </cell>
          <cell r="C110">
            <v>2.0674157303370782E-2</v>
          </cell>
          <cell r="D110">
            <v>28.519999999999996</v>
          </cell>
          <cell r="E110">
            <v>3.52458349529483E-2</v>
          </cell>
          <cell r="F110">
            <v>38.99</v>
          </cell>
          <cell r="G110">
            <v>4.5868133054935555E-2</v>
          </cell>
          <cell r="H110">
            <v>101.92999999999999</v>
          </cell>
          <cell r="I110">
            <v>5.6815726119841529E-2</v>
          </cell>
          <cell r="J110">
            <v>149.85999999999999</v>
          </cell>
          <cell r="K110">
            <v>3.9562113707730835E-2</v>
          </cell>
          <cell r="L110">
            <v>123.09000000000003</v>
          </cell>
          <cell r="M110">
            <v>5.1957680460244196E-2</v>
          </cell>
          <cell r="N110">
            <v>247.66600000000003</v>
          </cell>
        </row>
        <row r="111">
          <cell r="C111">
            <v>0</v>
          </cell>
          <cell r="E111">
            <v>0</v>
          </cell>
          <cell r="G111">
            <v>0</v>
          </cell>
          <cell r="I111">
            <v>0</v>
          </cell>
          <cell r="K111">
            <v>0</v>
          </cell>
          <cell r="M111">
            <v>0</v>
          </cell>
        </row>
        <row r="112">
          <cell r="B112" t="str">
            <v>Payment  To  Employees</v>
          </cell>
          <cell r="C112">
            <v>1.1888365349764406E-2</v>
          </cell>
          <cell r="D112">
            <v>16.399999999999999</v>
          </cell>
          <cell r="E112">
            <v>1.317085958616201E-2</v>
          </cell>
          <cell r="F112">
            <v>14.57</v>
          </cell>
          <cell r="G112">
            <v>5.1524587803297569E-3</v>
          </cell>
          <cell r="H112">
            <v>11.45</v>
          </cell>
          <cell r="I112">
            <v>5.5124827024055512E-3</v>
          </cell>
          <cell r="J112">
            <v>14.54</v>
          </cell>
          <cell r="K112">
            <v>6.6885009851155933E-3</v>
          </cell>
          <cell r="L112">
            <v>20.81</v>
          </cell>
          <cell r="M112">
            <v>1.1678971159633516E-2</v>
          </cell>
          <cell r="N112">
            <v>55.67</v>
          </cell>
        </row>
        <row r="113">
          <cell r="C113">
            <v>0</v>
          </cell>
          <cell r="E113">
            <v>0</v>
          </cell>
          <cell r="G113">
            <v>0</v>
          </cell>
          <cell r="I113">
            <v>0</v>
          </cell>
          <cell r="K113">
            <v>0</v>
          </cell>
          <cell r="M113">
            <v>0</v>
          </cell>
        </row>
        <row r="114">
          <cell r="B114" t="str">
            <v xml:space="preserve"> Administration   Exp.</v>
          </cell>
          <cell r="C114">
            <v>8.4475824574121051E-3</v>
          </cell>
          <cell r="D114">
            <v>11.65344</v>
          </cell>
          <cell r="E114">
            <v>8.2442168445983188E-3</v>
          </cell>
          <cell r="F114">
            <v>9.1199999999999992</v>
          </cell>
          <cell r="G114">
            <v>3.3344733242134062E-3</v>
          </cell>
          <cell r="H114">
            <v>7.410000000000001</v>
          </cell>
          <cell r="I114">
            <v>7.0289841336037768E-3</v>
          </cell>
          <cell r="J114">
            <v>18.54</v>
          </cell>
          <cell r="K114">
            <v>8.7165856182765452E-3</v>
          </cell>
          <cell r="L114">
            <v>27.12</v>
          </cell>
          <cell r="M114">
            <v>5.0683000583004508E-3</v>
          </cell>
          <cell r="N114">
            <v>24.158999999999999</v>
          </cell>
        </row>
        <row r="115">
          <cell r="G115">
            <v>0</v>
          </cell>
          <cell r="I115">
            <v>0</v>
          </cell>
          <cell r="K115">
            <v>0</v>
          </cell>
          <cell r="M115">
            <v>0</v>
          </cell>
        </row>
        <row r="116">
          <cell r="B116" t="str">
            <v>Selling  &amp;  Distribution   Exp.</v>
          </cell>
          <cell r="C116">
            <v>6.1664081188836537E-3</v>
          </cell>
          <cell r="D116">
            <v>8.5065600000000003</v>
          </cell>
          <cell r="E116">
            <v>7.1775308932138879E-3</v>
          </cell>
          <cell r="F116">
            <v>7.9399999999999995</v>
          </cell>
          <cell r="G116">
            <v>5.1749586003311968E-4</v>
          </cell>
          <cell r="H116">
            <v>1.1499999999999999</v>
          </cell>
          <cell r="I116">
            <v>0</v>
          </cell>
          <cell r="J116">
            <v>0</v>
          </cell>
          <cell r="K116">
            <v>0</v>
          </cell>
          <cell r="L116">
            <v>0</v>
          </cell>
          <cell r="M116">
            <v>0</v>
          </cell>
          <cell r="N116">
            <v>0</v>
          </cell>
        </row>
        <row r="117">
          <cell r="C117">
            <v>0</v>
          </cell>
          <cell r="E117">
            <v>0</v>
          </cell>
          <cell r="G117">
            <v>0</v>
          </cell>
          <cell r="I117">
            <v>0</v>
          </cell>
          <cell r="K117">
            <v>0</v>
          </cell>
          <cell r="M117">
            <v>0</v>
          </cell>
        </row>
        <row r="118">
          <cell r="B118" t="str">
            <v>Interest &amp; Finance Expenses</v>
          </cell>
          <cell r="C118">
            <v>4.29720913374411E-2</v>
          </cell>
          <cell r="D118">
            <v>59.28</v>
          </cell>
          <cell r="E118">
            <v>4.2757835169901372E-2</v>
          </cell>
          <cell r="F118">
            <v>47.3</v>
          </cell>
          <cell r="G118">
            <v>3.2512239902080776E-2</v>
          </cell>
          <cell r="H118">
            <v>72.25</v>
          </cell>
          <cell r="I118">
            <v>1.9987488863192616E-2</v>
          </cell>
          <cell r="J118">
            <v>52.72</v>
          </cell>
          <cell r="K118">
            <v>1.4428006209603028E-2</v>
          </cell>
          <cell r="L118">
            <v>44.89</v>
          </cell>
          <cell r="M118">
            <v>1.3872528236068365E-2</v>
          </cell>
          <cell r="N118">
            <v>66.126000000000005</v>
          </cell>
        </row>
        <row r="119">
          <cell r="C119">
            <v>0</v>
          </cell>
          <cell r="E119">
            <v>0</v>
          </cell>
          <cell r="G119">
            <v>0</v>
          </cell>
          <cell r="I119">
            <v>0</v>
          </cell>
          <cell r="K119">
            <v>0</v>
          </cell>
          <cell r="M119">
            <v>0</v>
          </cell>
        </row>
        <row r="120">
          <cell r="B120" t="str">
            <v>Depreciation</v>
          </cell>
          <cell r="C120">
            <v>1.1591156216020297E-2</v>
          </cell>
          <cell r="D120">
            <v>15.99</v>
          </cell>
          <cell r="E120">
            <v>1.5774296484456215E-2</v>
          </cell>
          <cell r="F120">
            <v>17.45</v>
          </cell>
          <cell r="G120">
            <v>1.0781913744690041E-2</v>
          </cell>
          <cell r="H120">
            <v>23.96</v>
          </cell>
          <cell r="I120">
            <v>1.7832161204102137E-2</v>
          </cell>
          <cell r="J120">
            <v>47.034999999999997</v>
          </cell>
          <cell r="K120">
            <v>2.3851368073255316E-2</v>
          </cell>
          <cell r="L120">
            <v>74.209000000000003</v>
          </cell>
          <cell r="M120">
            <v>1.2587358893084443E-2</v>
          </cell>
          <cell r="N120">
            <v>60</v>
          </cell>
        </row>
        <row r="121">
          <cell r="C121">
            <v>0</v>
          </cell>
          <cell r="E121">
            <v>0</v>
          </cell>
          <cell r="G121">
            <v>0</v>
          </cell>
          <cell r="I121">
            <v>0</v>
          </cell>
          <cell r="K121">
            <v>0</v>
          </cell>
          <cell r="M121">
            <v>0</v>
          </cell>
        </row>
        <row r="122">
          <cell r="B122" t="str">
            <v>Preliminary Expenses w/off</v>
          </cell>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E123">
            <v>0</v>
          </cell>
          <cell r="G123">
            <v>0</v>
          </cell>
          <cell r="I123">
            <v>0</v>
          </cell>
          <cell r="K123">
            <v>0</v>
          </cell>
          <cell r="M123">
            <v>0</v>
          </cell>
        </row>
        <row r="124">
          <cell r="C124">
            <v>0</v>
          </cell>
          <cell r="D124" t="str">
            <v>-</v>
          </cell>
          <cell r="E124">
            <v>0</v>
          </cell>
          <cell r="F124" t="str">
            <v>-</v>
          </cell>
          <cell r="G124">
            <v>0</v>
          </cell>
          <cell r="H124" t="str">
            <v>-</v>
          </cell>
          <cell r="I124">
            <v>0</v>
          </cell>
          <cell r="J124" t="str">
            <v>-</v>
          </cell>
          <cell r="K124">
            <v>0</v>
          </cell>
          <cell r="L124" t="str">
            <v>-</v>
          </cell>
          <cell r="M124">
            <v>0</v>
          </cell>
          <cell r="N124" t="str">
            <v>-</v>
          </cell>
        </row>
        <row r="125">
          <cell r="B125" t="str">
            <v>TOTAL  EXPENDITURE</v>
          </cell>
          <cell r="C125">
            <v>0.92779061254077566</v>
          </cell>
          <cell r="D125">
            <v>1279.88715</v>
          </cell>
          <cell r="E125">
            <v>0.93276803196441971</v>
          </cell>
          <cell r="F125">
            <v>1031.85598</v>
          </cell>
          <cell r="G125">
            <v>0.96514777881776936</v>
          </cell>
          <cell r="H125">
            <v>2144.79</v>
          </cell>
          <cell r="I125">
            <v>0.96623699126116058</v>
          </cell>
          <cell r="J125">
            <v>2548.5949999999998</v>
          </cell>
          <cell r="K125">
            <v>0.96082646859361454</v>
          </cell>
          <cell r="L125">
            <v>2989.4289999999992</v>
          </cell>
          <cell r="M125">
            <v>0.95471718617144352</v>
          </cell>
          <cell r="N125">
            <v>4550.8379999999997</v>
          </cell>
        </row>
        <row r="126">
          <cell r="C126">
            <v>0</v>
          </cell>
          <cell r="D126" t="str">
            <v>-</v>
          </cell>
          <cell r="E126">
            <v>0</v>
          </cell>
          <cell r="F126" t="str">
            <v>-</v>
          </cell>
          <cell r="G126">
            <v>0</v>
          </cell>
          <cell r="H126" t="str">
            <v>-</v>
          </cell>
          <cell r="I126">
            <v>0</v>
          </cell>
          <cell r="J126" t="str">
            <v>-</v>
          </cell>
          <cell r="K126">
            <v>0</v>
          </cell>
          <cell r="L126" t="str">
            <v>-</v>
          </cell>
          <cell r="M126">
            <v>0</v>
          </cell>
          <cell r="N126" t="str">
            <v>-</v>
          </cell>
        </row>
        <row r="127">
          <cell r="B127" t="str">
            <v>Profit/ Loss Before Tax</v>
          </cell>
          <cell r="C127">
            <v>7.2209387459224339E-2</v>
          </cell>
          <cell r="D127">
            <v>99.61284999999998</v>
          </cell>
          <cell r="E127">
            <v>6.7231968035580278E-2</v>
          </cell>
          <cell r="F127">
            <v>74.374019999999973</v>
          </cell>
          <cell r="G127">
            <v>3.4852221182230664E-2</v>
          </cell>
          <cell r="H127">
            <v>77.450000000000273</v>
          </cell>
          <cell r="I127">
            <v>3.3763008738839438E-2</v>
          </cell>
          <cell r="J127">
            <v>89.054999999999836</v>
          </cell>
          <cell r="K127">
            <v>3.9173531406385478E-2</v>
          </cell>
          <cell r="L127">
            <v>121.88100000000122</v>
          </cell>
          <cell r="M127">
            <v>4.528281382855643E-2</v>
          </cell>
          <cell r="N127">
            <v>215.84900000000016</v>
          </cell>
        </row>
        <row r="128">
          <cell r="C128">
            <v>0</v>
          </cell>
          <cell r="E128">
            <v>0</v>
          </cell>
          <cell r="G128">
            <v>0</v>
          </cell>
          <cell r="I128">
            <v>0</v>
          </cell>
          <cell r="K128">
            <v>0</v>
          </cell>
          <cell r="M128">
            <v>0</v>
          </cell>
        </row>
        <row r="129">
          <cell r="B129" t="str">
            <v>Less: Provision For  Taxation</v>
          </cell>
          <cell r="C129">
            <v>0</v>
          </cell>
          <cell r="D129">
            <v>0</v>
          </cell>
          <cell r="E129">
            <v>0</v>
          </cell>
          <cell r="F129">
            <v>0</v>
          </cell>
          <cell r="G129">
            <v>0</v>
          </cell>
          <cell r="H129">
            <v>0</v>
          </cell>
          <cell r="I129">
            <v>8.3407578715902425E-5</v>
          </cell>
          <cell r="J129">
            <v>0.22</v>
          </cell>
          <cell r="K129">
            <v>2.9730242245227891E-3</v>
          </cell>
          <cell r="L129">
            <v>9.25</v>
          </cell>
          <cell r="M129">
            <v>0</v>
          </cell>
          <cell r="N129">
            <v>0</v>
          </cell>
        </row>
        <row r="130">
          <cell r="C130">
            <v>0</v>
          </cell>
          <cell r="E130">
            <v>0</v>
          </cell>
          <cell r="G130">
            <v>0</v>
          </cell>
          <cell r="I130">
            <v>0</v>
          </cell>
          <cell r="K130">
            <v>0</v>
          </cell>
          <cell r="M130">
            <v>0</v>
          </cell>
        </row>
        <row r="131">
          <cell r="B131" t="str">
            <v xml:space="preserve"> Add: ( Depreciation written  back) / written off </v>
          </cell>
          <cell r="C131">
            <v>0</v>
          </cell>
          <cell r="D131">
            <v>0</v>
          </cell>
          <cell r="E131">
            <v>0</v>
          </cell>
          <cell r="F131">
            <v>0</v>
          </cell>
          <cell r="G131">
            <v>0</v>
          </cell>
          <cell r="H131">
            <v>0</v>
          </cell>
          <cell r="I131">
            <v>-3.2801925956817628E-2</v>
          </cell>
          <cell r="J131">
            <v>-86.52</v>
          </cell>
          <cell r="K131">
            <v>0</v>
          </cell>
          <cell r="L131">
            <v>0</v>
          </cell>
          <cell r="M131">
            <v>-3.566418353040592E-3</v>
          </cell>
          <cell r="N131">
            <v>-17</v>
          </cell>
        </row>
        <row r="132">
          <cell r="C132">
            <v>0</v>
          </cell>
          <cell r="D132" t="str">
            <v>-</v>
          </cell>
          <cell r="E132">
            <v>0</v>
          </cell>
          <cell r="F132" t="str">
            <v>-</v>
          </cell>
          <cell r="G132">
            <v>0</v>
          </cell>
          <cell r="H132" t="str">
            <v>-</v>
          </cell>
          <cell r="I132">
            <v>0</v>
          </cell>
          <cell r="J132" t="str">
            <v>-</v>
          </cell>
          <cell r="K132">
            <v>0</v>
          </cell>
          <cell r="L132" t="str">
            <v>-</v>
          </cell>
          <cell r="M132">
            <v>0</v>
          </cell>
          <cell r="N132" t="str">
            <v>-</v>
          </cell>
        </row>
        <row r="133">
          <cell r="B133" t="str">
            <v>Profit/Loss After  Taxation</v>
          </cell>
          <cell r="C133">
            <v>7.2209387459224339E-2</v>
          </cell>
          <cell r="D133">
            <v>99.61284999999998</v>
          </cell>
          <cell r="E133">
            <v>6.7231968035580278E-2</v>
          </cell>
          <cell r="F133">
            <v>74.374019999999973</v>
          </cell>
          <cell r="G133">
            <v>3.4852221182230664E-2</v>
          </cell>
          <cell r="H133">
            <v>77.450000000000273</v>
          </cell>
          <cell r="I133">
            <v>8.7767520330591308E-4</v>
          </cell>
          <cell r="J133">
            <v>2.3149999999998414</v>
          </cell>
          <cell r="K133">
            <v>3.6200507181862691E-2</v>
          </cell>
          <cell r="L133">
            <v>112.63100000000122</v>
          </cell>
          <cell r="M133">
            <v>4.1716395475515838E-2</v>
          </cell>
          <cell r="N133">
            <v>198.84900000000016</v>
          </cell>
        </row>
        <row r="134">
          <cell r="I134">
            <v>0</v>
          </cell>
        </row>
        <row r="135">
          <cell r="B135" t="str">
            <v xml:space="preserve">Balance  b/f from Previous Year </v>
          </cell>
          <cell r="D135">
            <v>0</v>
          </cell>
          <cell r="F135">
            <v>71.61284999999998</v>
          </cell>
          <cell r="H135">
            <v>119.78686999999996</v>
          </cell>
          <cell r="J135">
            <v>170.70687000000024</v>
          </cell>
          <cell r="L135">
            <v>168.6078700000001</v>
          </cell>
          <cell r="N135">
            <v>267.96887000000135</v>
          </cell>
        </row>
        <row r="136">
          <cell r="C136">
            <v>0</v>
          </cell>
          <cell r="D136" t="str">
            <v>-</v>
          </cell>
          <cell r="E136">
            <v>0</v>
          </cell>
          <cell r="F136" t="str">
            <v>-</v>
          </cell>
          <cell r="G136">
            <v>0</v>
          </cell>
          <cell r="H136" t="str">
            <v>-</v>
          </cell>
          <cell r="I136">
            <v>0</v>
          </cell>
          <cell r="J136" t="str">
            <v>-</v>
          </cell>
          <cell r="K136">
            <v>0</v>
          </cell>
          <cell r="L136" t="str">
            <v>-</v>
          </cell>
          <cell r="M136">
            <v>0</v>
          </cell>
          <cell r="N136" t="str">
            <v>-</v>
          </cell>
        </row>
        <row r="137">
          <cell r="B137" t="str">
            <v>BALANCE AVAILABLE FOR APPROPRIATION</v>
          </cell>
          <cell r="D137">
            <v>99.61284999999998</v>
          </cell>
          <cell r="F137">
            <v>145.98686999999995</v>
          </cell>
          <cell r="H137">
            <v>197.23687000000024</v>
          </cell>
          <cell r="J137">
            <v>173.02187000000009</v>
          </cell>
          <cell r="L137">
            <v>281.23887000000133</v>
          </cell>
          <cell r="N137">
            <v>466.81787000000151</v>
          </cell>
        </row>
        <row r="138">
          <cell r="C138">
            <v>0</v>
          </cell>
          <cell r="D138" t="str">
            <v>=</v>
          </cell>
          <cell r="E138">
            <v>0</v>
          </cell>
          <cell r="F138" t="str">
            <v>=</v>
          </cell>
          <cell r="G138">
            <v>0</v>
          </cell>
          <cell r="H138" t="str">
            <v>=</v>
          </cell>
          <cell r="I138">
            <v>0</v>
          </cell>
          <cell r="J138" t="str">
            <v>=</v>
          </cell>
          <cell r="K138">
            <v>0</v>
          </cell>
          <cell r="L138" t="str">
            <v>=</v>
          </cell>
          <cell r="M138">
            <v>0</v>
          </cell>
          <cell r="N138" t="str">
            <v>=</v>
          </cell>
        </row>
        <row r="139">
          <cell r="B139" t="str">
            <v>APPROPRIATIONS</v>
          </cell>
        </row>
        <row r="141">
          <cell r="B141" t="str">
            <v>Total  Dividend</v>
          </cell>
          <cell r="C141">
            <v>0.54995417048579287</v>
          </cell>
          <cell r="D141">
            <v>18</v>
          </cell>
          <cell r="E141">
            <v>0.4598353675844451</v>
          </cell>
          <cell r="F141">
            <v>16.2</v>
          </cell>
          <cell r="G141">
            <v>0.41243258586432019</v>
          </cell>
          <cell r="H141">
            <v>14.53</v>
          </cell>
          <cell r="I141">
            <v>0</v>
          </cell>
          <cell r="J141">
            <v>0</v>
          </cell>
          <cell r="K141">
            <v>9.9908340971585713E-2</v>
          </cell>
          <cell r="L141">
            <v>3.27</v>
          </cell>
          <cell r="M141">
            <v>0</v>
          </cell>
          <cell r="N141">
            <v>0</v>
          </cell>
        </row>
        <row r="142">
          <cell r="B142" t="str">
            <v>Interim  Dividend</v>
          </cell>
          <cell r="D142">
            <v>8.18</v>
          </cell>
          <cell r="F142">
            <v>14.73</v>
          </cell>
          <cell r="H142">
            <v>13.09</v>
          </cell>
          <cell r="J142">
            <v>0</v>
          </cell>
          <cell r="L142">
            <v>3.27</v>
          </cell>
          <cell r="N142">
            <v>0</v>
          </cell>
        </row>
        <row r="144">
          <cell r="B144" t="str">
            <v xml:space="preserve">Proposed Dividend </v>
          </cell>
          <cell r="C144">
            <v>0</v>
          </cell>
          <cell r="D144">
            <v>8.18</v>
          </cell>
          <cell r="F144">
            <v>0</v>
          </cell>
          <cell r="H144">
            <v>0</v>
          </cell>
          <cell r="J144">
            <v>0</v>
          </cell>
          <cell r="L144">
            <v>0</v>
          </cell>
          <cell r="N144">
            <v>0</v>
          </cell>
        </row>
        <row r="146">
          <cell r="B146" t="str">
            <v xml:space="preserve"> Tax  on Dividends</v>
          </cell>
          <cell r="D146">
            <v>1.64</v>
          </cell>
          <cell r="F146">
            <v>1.47</v>
          </cell>
          <cell r="H146">
            <v>1.44</v>
          </cell>
          <cell r="J146">
            <v>0</v>
          </cell>
          <cell r="L146">
            <v>0</v>
          </cell>
          <cell r="N146">
            <v>0</v>
          </cell>
        </row>
        <row r="148">
          <cell r="B148" t="str">
            <v>Transfer to  Reserves</v>
          </cell>
          <cell r="D148">
            <v>10</v>
          </cell>
          <cell r="F148">
            <v>10</v>
          </cell>
          <cell r="H148">
            <v>12</v>
          </cell>
          <cell r="J148">
            <v>4.4139999999999997</v>
          </cell>
          <cell r="L148">
            <v>10</v>
          </cell>
          <cell r="N148">
            <v>0</v>
          </cell>
        </row>
        <row r="150">
          <cell r="B150" t="str">
            <v>Balance Carried  to Balance Sheet</v>
          </cell>
          <cell r="D150">
            <v>71.61284999999998</v>
          </cell>
          <cell r="F150">
            <v>119.78686999999996</v>
          </cell>
          <cell r="H150">
            <v>170.70687000000024</v>
          </cell>
          <cell r="J150">
            <v>168.6078700000001</v>
          </cell>
          <cell r="L150">
            <v>267.96887000000135</v>
          </cell>
          <cell r="N150">
            <v>466.81787000000151</v>
          </cell>
        </row>
        <row r="151">
          <cell r="C151">
            <v>0</v>
          </cell>
          <cell r="D151" t="str">
            <v>-</v>
          </cell>
          <cell r="E151">
            <v>0</v>
          </cell>
          <cell r="F151" t="str">
            <v>-</v>
          </cell>
          <cell r="G151">
            <v>0</v>
          </cell>
          <cell r="H151" t="str">
            <v>-</v>
          </cell>
          <cell r="I151">
            <v>0</v>
          </cell>
          <cell r="J151" t="str">
            <v>-</v>
          </cell>
          <cell r="K151">
            <v>0</v>
          </cell>
          <cell r="L151" t="str">
            <v>-</v>
          </cell>
          <cell r="M151">
            <v>0</v>
          </cell>
          <cell r="N151" t="str">
            <v>-</v>
          </cell>
        </row>
        <row r="152">
          <cell r="D152">
            <v>99.61284999999998</v>
          </cell>
          <cell r="F152">
            <v>145.98686999999995</v>
          </cell>
          <cell r="H152">
            <v>197.23687000000024</v>
          </cell>
          <cell r="J152">
            <v>173.02187000000009</v>
          </cell>
          <cell r="L152">
            <v>281.23887000000133</v>
          </cell>
          <cell r="N152">
            <v>466.81787000000151</v>
          </cell>
        </row>
        <row r="153">
          <cell r="C153">
            <v>0</v>
          </cell>
          <cell r="D153" t="str">
            <v>=</v>
          </cell>
          <cell r="E153">
            <v>0</v>
          </cell>
          <cell r="F153" t="str">
            <v>=</v>
          </cell>
          <cell r="G153">
            <v>0</v>
          </cell>
          <cell r="H153" t="str">
            <v>=</v>
          </cell>
          <cell r="I153">
            <v>0</v>
          </cell>
          <cell r="J153" t="str">
            <v>=</v>
          </cell>
          <cell r="K153">
            <v>0</v>
          </cell>
          <cell r="L153" t="str">
            <v>=</v>
          </cell>
          <cell r="M153">
            <v>0</v>
          </cell>
          <cell r="N153" t="str">
            <v>=</v>
          </cell>
        </row>
        <row r="176">
          <cell r="B176" t="str">
            <v>DETAILS  FOR  CALCULATING RATIOS</v>
          </cell>
        </row>
        <row r="178">
          <cell r="B178" t="str">
            <v>-</v>
          </cell>
          <cell r="C178" t="str">
            <v>-</v>
          </cell>
          <cell r="D178" t="str">
            <v>-</v>
          </cell>
          <cell r="E178" t="str">
            <v>-</v>
          </cell>
          <cell r="F178" t="str">
            <v>-</v>
          </cell>
          <cell r="G178" t="str">
            <v>-</v>
          </cell>
          <cell r="H178" t="str">
            <v>-</v>
          </cell>
        </row>
        <row r="179">
          <cell r="B179" t="str">
            <v>PARTICULARS</v>
          </cell>
          <cell r="C179" t="str">
            <v>1997-98</v>
          </cell>
          <cell r="D179" t="str">
            <v>1998-99</v>
          </cell>
          <cell r="E179" t="str">
            <v>1999-00</v>
          </cell>
          <cell r="F179" t="str">
            <v>2000-01</v>
          </cell>
          <cell r="G179" t="str">
            <v>2001-02</v>
          </cell>
          <cell r="H179" t="str">
            <v>2002-03</v>
          </cell>
        </row>
        <row r="180">
          <cell r="B180" t="str">
            <v>-</v>
          </cell>
          <cell r="C180" t="str">
            <v>-</v>
          </cell>
          <cell r="D180" t="str">
            <v>-</v>
          </cell>
          <cell r="E180" t="str">
            <v>-</v>
          </cell>
          <cell r="F180" t="str">
            <v>-</v>
          </cell>
          <cell r="G180" t="str">
            <v>-</v>
          </cell>
          <cell r="H180" t="str">
            <v>-</v>
          </cell>
        </row>
        <row r="181">
          <cell r="B181" t="str">
            <v>Total  Share  Capital</v>
          </cell>
          <cell r="C181">
            <v>32.729999999999997</v>
          </cell>
          <cell r="D181">
            <v>35.229999999999997</v>
          </cell>
          <cell r="E181">
            <v>35.229999999999997</v>
          </cell>
          <cell r="F181">
            <v>32.729999999999997</v>
          </cell>
          <cell r="G181">
            <v>32.729999999999997</v>
          </cell>
          <cell r="H181">
            <v>50.73</v>
          </cell>
        </row>
        <row r="183">
          <cell r="B183" t="str">
            <v>Total  Dividend</v>
          </cell>
          <cell r="C183">
            <v>18</v>
          </cell>
          <cell r="D183">
            <v>16.2</v>
          </cell>
          <cell r="E183">
            <v>14.53</v>
          </cell>
          <cell r="F183">
            <v>0</v>
          </cell>
          <cell r="G183">
            <v>3.27</v>
          </cell>
          <cell r="H183">
            <v>0</v>
          </cell>
        </row>
        <row r="185">
          <cell r="B185" t="str">
            <v>Loan  Funds</v>
          </cell>
          <cell r="C185">
            <v>331.24</v>
          </cell>
          <cell r="D185">
            <v>488.45</v>
          </cell>
          <cell r="E185">
            <v>476.06</v>
          </cell>
          <cell r="F185">
            <v>184.79</v>
          </cell>
          <cell r="G185">
            <v>395.6</v>
          </cell>
          <cell r="H185">
            <v>865.99</v>
          </cell>
        </row>
        <row r="187">
          <cell r="B187" t="str">
            <v>Term  Loans</v>
          </cell>
          <cell r="C187">
            <v>199.57999999999998</v>
          </cell>
          <cell r="D187">
            <v>237.06</v>
          </cell>
          <cell r="E187">
            <v>273.65999999999997</v>
          </cell>
          <cell r="F187">
            <v>133.68</v>
          </cell>
          <cell r="G187">
            <v>349.63</v>
          </cell>
          <cell r="H187">
            <v>754.39699999999993</v>
          </cell>
        </row>
        <row r="189">
          <cell r="B189" t="str">
            <v>Unsecured  Loan</v>
          </cell>
          <cell r="C189">
            <v>18.25</v>
          </cell>
          <cell r="D189">
            <v>115.25</v>
          </cell>
          <cell r="E189">
            <v>30.5</v>
          </cell>
          <cell r="F189">
            <v>0</v>
          </cell>
          <cell r="G189">
            <v>0</v>
          </cell>
          <cell r="H189">
            <v>13.885</v>
          </cell>
        </row>
        <row r="191">
          <cell r="B191" t="str">
            <v>Working  Capital  Loan</v>
          </cell>
          <cell r="C191">
            <v>113.41</v>
          </cell>
          <cell r="D191">
            <v>136.13999999999999</v>
          </cell>
          <cell r="E191">
            <v>171.9</v>
          </cell>
          <cell r="F191">
            <v>51.11</v>
          </cell>
          <cell r="G191">
            <v>45.97</v>
          </cell>
          <cell r="H191">
            <v>95.296999999999997</v>
          </cell>
        </row>
        <row r="193">
          <cell r="B193" t="str">
            <v>Debt</v>
          </cell>
          <cell r="C193">
            <v>199.58</v>
          </cell>
          <cell r="D193">
            <v>237.06</v>
          </cell>
          <cell r="E193">
            <v>273.65999999999997</v>
          </cell>
          <cell r="F193">
            <v>133.68</v>
          </cell>
          <cell r="G193">
            <v>349.63</v>
          </cell>
          <cell r="H193">
            <v>756.80799999999999</v>
          </cell>
        </row>
        <row r="195">
          <cell r="B195" t="str">
            <v>Current  Assets:</v>
          </cell>
        </row>
        <row r="197">
          <cell r="B197" t="str">
            <v>a. Inventories</v>
          </cell>
          <cell r="C197">
            <v>45.33</v>
          </cell>
          <cell r="D197">
            <v>53.25</v>
          </cell>
          <cell r="E197">
            <v>41.57</v>
          </cell>
          <cell r="F197">
            <v>58.55</v>
          </cell>
          <cell r="G197">
            <v>130.61000000000001</v>
          </cell>
          <cell r="H197">
            <v>288.3</v>
          </cell>
        </row>
        <row r="199">
          <cell r="B199" t="str">
            <v>b. Sundry  Debtors</v>
          </cell>
          <cell r="C199">
            <v>52.62</v>
          </cell>
          <cell r="D199">
            <v>41.46</v>
          </cell>
          <cell r="E199">
            <v>105.17</v>
          </cell>
          <cell r="F199">
            <v>100.47</v>
          </cell>
          <cell r="G199">
            <v>87.53</v>
          </cell>
          <cell r="H199">
            <v>95.6</v>
          </cell>
        </row>
        <row r="201">
          <cell r="B201" t="str">
            <v>c.  Cash &amp; Bank Balances</v>
          </cell>
          <cell r="C201">
            <v>25.15</v>
          </cell>
          <cell r="D201">
            <v>37.33</v>
          </cell>
          <cell r="E201">
            <v>23.84</v>
          </cell>
          <cell r="F201">
            <v>11.56</v>
          </cell>
          <cell r="G201">
            <v>1.54</v>
          </cell>
          <cell r="H201">
            <v>2.4700000000000002</v>
          </cell>
        </row>
        <row r="203">
          <cell r="B203" t="str">
            <v>d.  Loans &amp;  Advances</v>
          </cell>
          <cell r="C203">
            <v>40.089999999999996</v>
          </cell>
          <cell r="D203">
            <v>135.42000000000002</v>
          </cell>
          <cell r="E203">
            <v>257.35000000000002</v>
          </cell>
          <cell r="F203">
            <v>61.674999999999997</v>
          </cell>
          <cell r="G203">
            <v>112.2</v>
          </cell>
          <cell r="H203">
            <v>75.19</v>
          </cell>
        </row>
        <row r="205">
          <cell r="B205" t="str">
            <v>e.  Deposits</v>
          </cell>
          <cell r="C205">
            <v>31.54</v>
          </cell>
          <cell r="D205">
            <v>31.63</v>
          </cell>
          <cell r="E205">
            <v>1.63</v>
          </cell>
          <cell r="F205">
            <v>1.645</v>
          </cell>
          <cell r="G205">
            <v>1.81</v>
          </cell>
          <cell r="H205">
            <v>106.12</v>
          </cell>
        </row>
        <row r="207">
          <cell r="B207" t="str">
            <v>f. Trade  Investments</v>
          </cell>
          <cell r="C207">
            <v>0</v>
          </cell>
          <cell r="D207">
            <v>0</v>
          </cell>
          <cell r="E207">
            <v>0</v>
          </cell>
          <cell r="F207">
            <v>0</v>
          </cell>
          <cell r="G207">
            <v>0</v>
          </cell>
          <cell r="H207">
            <v>0</v>
          </cell>
        </row>
        <row r="208">
          <cell r="C208" t="str">
            <v>-</v>
          </cell>
          <cell r="D208" t="str">
            <v>-</v>
          </cell>
          <cell r="E208" t="str">
            <v>-</v>
          </cell>
          <cell r="F208" t="str">
            <v>-</v>
          </cell>
          <cell r="G208" t="str">
            <v>-</v>
          </cell>
          <cell r="H208" t="str">
            <v>-</v>
          </cell>
        </row>
        <row r="209">
          <cell r="B209" t="str">
            <v xml:space="preserve">         Total Current  Assets</v>
          </cell>
          <cell r="C209">
            <v>194.73</v>
          </cell>
          <cell r="D209">
            <v>299.09000000000003</v>
          </cell>
          <cell r="E209">
            <v>429.56000000000006</v>
          </cell>
          <cell r="F209">
            <v>233.9</v>
          </cell>
          <cell r="G209">
            <v>333.69</v>
          </cell>
          <cell r="H209">
            <v>567.68000000000006</v>
          </cell>
        </row>
        <row r="211">
          <cell r="B211" t="str">
            <v>Current Liabilities</v>
          </cell>
          <cell r="C211">
            <v>35.5</v>
          </cell>
          <cell r="D211">
            <v>31.48</v>
          </cell>
          <cell r="E211">
            <v>33.119999999999997</v>
          </cell>
          <cell r="F211">
            <v>28.53</v>
          </cell>
          <cell r="G211">
            <v>86.375</v>
          </cell>
          <cell r="H211">
            <v>66.83</v>
          </cell>
        </row>
        <row r="212">
          <cell r="C212" t="str">
            <v>-</v>
          </cell>
          <cell r="D212" t="str">
            <v>-</v>
          </cell>
          <cell r="E212" t="str">
            <v>-</v>
          </cell>
          <cell r="F212" t="str">
            <v>-</v>
          </cell>
          <cell r="G212" t="str">
            <v>-</v>
          </cell>
          <cell r="H212" t="str">
            <v>-</v>
          </cell>
        </row>
        <row r="213">
          <cell r="B213" t="str">
            <v xml:space="preserve">         Total  Current Liabilities</v>
          </cell>
          <cell r="C213">
            <v>140.72999999999999</v>
          </cell>
          <cell r="D213">
            <v>167.61999999999998</v>
          </cell>
          <cell r="E213">
            <v>205.02</v>
          </cell>
          <cell r="F213">
            <v>79.64</v>
          </cell>
          <cell r="G213">
            <v>132.345</v>
          </cell>
          <cell r="H213">
            <v>162.12700000000001</v>
          </cell>
        </row>
        <row r="214">
          <cell r="C214" t="str">
            <v>-</v>
          </cell>
          <cell r="D214" t="str">
            <v>-</v>
          </cell>
          <cell r="E214" t="str">
            <v>-</v>
          </cell>
          <cell r="F214" t="str">
            <v>-</v>
          </cell>
          <cell r="G214" t="str">
            <v>-</v>
          </cell>
          <cell r="H214" t="str">
            <v>-</v>
          </cell>
        </row>
        <row r="215">
          <cell r="B215" t="str">
            <v xml:space="preserve">Working  Capital  </v>
          </cell>
          <cell r="C215">
            <v>54</v>
          </cell>
          <cell r="D215">
            <v>131.47000000000006</v>
          </cell>
          <cell r="E215">
            <v>224.54000000000005</v>
          </cell>
          <cell r="F215">
            <v>154.26</v>
          </cell>
          <cell r="G215">
            <v>201.345</v>
          </cell>
          <cell r="H215">
            <v>405.55300000000005</v>
          </cell>
        </row>
        <row r="217">
          <cell r="B217" t="str">
            <v>L.T. Funds</v>
          </cell>
          <cell r="C217">
            <v>389.06000000000006</v>
          </cell>
          <cell r="D217">
            <v>606.72</v>
          </cell>
          <cell r="E217">
            <v>621.48</v>
          </cell>
          <cell r="F217">
            <v>424.41999999999996</v>
          </cell>
          <cell r="G217">
            <v>749.72700000000009</v>
          </cell>
          <cell r="H217">
            <v>1689.6399999999999</v>
          </cell>
        </row>
        <row r="219">
          <cell r="B219" t="str">
            <v>Turnover</v>
          </cell>
          <cell r="C219">
            <v>1364.28</v>
          </cell>
          <cell r="D219">
            <v>1093.98</v>
          </cell>
          <cell r="E219">
            <v>2217.7800000000002</v>
          </cell>
          <cell r="F219">
            <v>2628.58</v>
          </cell>
          <cell r="G219">
            <v>3089.9</v>
          </cell>
          <cell r="H219">
            <v>4555.9579999999996</v>
          </cell>
        </row>
        <row r="221">
          <cell r="B221" t="str">
            <v>Gross  Profit</v>
          </cell>
          <cell r="C221">
            <v>255.88285000000005</v>
          </cell>
          <cell r="D221">
            <v>214.57402000000008</v>
          </cell>
          <cell r="E221">
            <v>297.62000000000046</v>
          </cell>
          <cell r="F221">
            <v>315.91999999999967</v>
          </cell>
          <cell r="G221">
            <v>431.21000000000055</v>
          </cell>
          <cell r="H221">
            <v>565.71399999999971</v>
          </cell>
        </row>
        <row r="223">
          <cell r="B223" t="str">
            <v>Net Profit for the Year</v>
          </cell>
          <cell r="C223">
            <v>99.61284999999998</v>
          </cell>
          <cell r="D223">
            <v>74.374019999999973</v>
          </cell>
          <cell r="E223">
            <v>77.450000000000273</v>
          </cell>
          <cell r="F223">
            <v>89.054999999999836</v>
          </cell>
          <cell r="G223">
            <v>121.88100000000122</v>
          </cell>
          <cell r="H223">
            <v>215.84900000000016</v>
          </cell>
        </row>
        <row r="225">
          <cell r="B225" t="str">
            <v>Interest  &amp;  Finance  Charges</v>
          </cell>
          <cell r="C225">
            <v>59.28</v>
          </cell>
          <cell r="D225">
            <v>47.3</v>
          </cell>
          <cell r="E225">
            <v>72.25</v>
          </cell>
          <cell r="F225">
            <v>52.72</v>
          </cell>
          <cell r="G225">
            <v>44.89</v>
          </cell>
          <cell r="H225">
            <v>66.126000000000005</v>
          </cell>
        </row>
        <row r="227">
          <cell r="B227" t="str">
            <v>PBIT</v>
          </cell>
          <cell r="C227">
            <v>158.89284999999998</v>
          </cell>
          <cell r="D227">
            <v>121.67401999999997</v>
          </cell>
          <cell r="E227">
            <v>149.70000000000027</v>
          </cell>
          <cell r="F227">
            <v>141.77499999999984</v>
          </cell>
          <cell r="G227">
            <v>166.77100000000121</v>
          </cell>
          <cell r="H227">
            <v>281.97500000000014</v>
          </cell>
        </row>
        <row r="229">
          <cell r="B229" t="str">
            <v xml:space="preserve">F.G.Inventory </v>
          </cell>
          <cell r="C229">
            <v>0</v>
          </cell>
          <cell r="D229">
            <v>0</v>
          </cell>
          <cell r="E229">
            <v>0</v>
          </cell>
          <cell r="F229">
            <v>0</v>
          </cell>
          <cell r="G229">
            <v>0</v>
          </cell>
          <cell r="H229">
            <v>0</v>
          </cell>
        </row>
        <row r="231">
          <cell r="B231" t="str">
            <v>R.M.Inventory</v>
          </cell>
          <cell r="C231">
            <v>0</v>
          </cell>
          <cell r="D231">
            <v>0</v>
          </cell>
          <cell r="E231">
            <v>0</v>
          </cell>
          <cell r="F231">
            <v>0</v>
          </cell>
          <cell r="G231">
            <v>0</v>
          </cell>
          <cell r="H231">
            <v>0</v>
          </cell>
        </row>
        <row r="232">
          <cell r="B232" t="str">
            <v>=</v>
          </cell>
          <cell r="C232" t="str">
            <v>=</v>
          </cell>
          <cell r="D232" t="str">
            <v>=</v>
          </cell>
          <cell r="E232" t="str">
            <v>=</v>
          </cell>
          <cell r="F232" t="str">
            <v>=</v>
          </cell>
          <cell r="G232" t="str">
            <v>=</v>
          </cell>
          <cell r="H232" t="str">
            <v>=</v>
          </cell>
        </row>
        <row r="236">
          <cell r="B236" t="str">
            <v>CALCULATION  OF  VARIOUS  RATIOS</v>
          </cell>
        </row>
        <row r="237">
          <cell r="H237" t="str">
            <v>(RS.IN LACS)</v>
          </cell>
        </row>
        <row r="238">
          <cell r="B238" t="str">
            <v>-</v>
          </cell>
          <cell r="C238" t="str">
            <v>-</v>
          </cell>
          <cell r="D238" t="str">
            <v>-</v>
          </cell>
          <cell r="E238" t="str">
            <v>-</v>
          </cell>
          <cell r="F238" t="str">
            <v>-</v>
          </cell>
          <cell r="G238" t="str">
            <v>-</v>
          </cell>
          <cell r="H238" t="str">
            <v>-</v>
          </cell>
        </row>
        <row r="239">
          <cell r="B239" t="str">
            <v>PARTICULARS</v>
          </cell>
          <cell r="C239" t="str">
            <v>1997-98</v>
          </cell>
          <cell r="D239" t="str">
            <v>1998-99</v>
          </cell>
          <cell r="E239" t="str">
            <v>1999-00</v>
          </cell>
          <cell r="F239" t="str">
            <v>2000-01</v>
          </cell>
          <cell r="G239" t="str">
            <v>2001-02</v>
          </cell>
          <cell r="H239" t="str">
            <v>2002-03</v>
          </cell>
        </row>
        <row r="240">
          <cell r="B240" t="str">
            <v>-</v>
          </cell>
          <cell r="C240" t="str">
            <v>-</v>
          </cell>
          <cell r="D240" t="str">
            <v>-</v>
          </cell>
          <cell r="E240" t="str">
            <v>-</v>
          </cell>
          <cell r="F240" t="str">
            <v>-</v>
          </cell>
          <cell r="G240" t="str">
            <v>-</v>
          </cell>
          <cell r="H240" t="str">
            <v>-</v>
          </cell>
        </row>
        <row r="241">
          <cell r="B241" t="str">
            <v>NET PROFIT AFTER TAX</v>
          </cell>
          <cell r="C241">
            <v>99.61284999999998</v>
          </cell>
          <cell r="D241">
            <v>74.374019999999973</v>
          </cell>
          <cell r="E241">
            <v>77.450000000000273</v>
          </cell>
          <cell r="F241">
            <v>2.3149999999998414</v>
          </cell>
          <cell r="G241">
            <v>112.63100000000122</v>
          </cell>
          <cell r="H241">
            <v>198.84900000000016</v>
          </cell>
        </row>
        <row r="243">
          <cell r="B243" t="str">
            <v>CASH PROFIT</v>
          </cell>
          <cell r="C243">
            <v>115.60284999999998</v>
          </cell>
          <cell r="D243">
            <v>91.824019999999976</v>
          </cell>
          <cell r="E243">
            <v>101.41000000000028</v>
          </cell>
          <cell r="F243">
            <v>49.349999999999838</v>
          </cell>
          <cell r="G243">
            <v>186.84000000000123</v>
          </cell>
          <cell r="H243">
            <v>258.84900000000016</v>
          </cell>
        </row>
        <row r="245">
          <cell r="B245" t="str">
            <v>CASH PROFIT RATIO</v>
          </cell>
          <cell r="C245">
            <v>8.3800543675244636</v>
          </cell>
          <cell r="D245">
            <v>8.3006264520036499</v>
          </cell>
          <cell r="E245">
            <v>4.56341349269207</v>
          </cell>
          <cell r="F245">
            <v>1.8709836407408049</v>
          </cell>
          <cell r="G245">
            <v>6.0051875255118006</v>
          </cell>
          <cell r="H245">
            <v>5.4303754368600279</v>
          </cell>
        </row>
        <row r="247">
          <cell r="B247" t="str">
            <v>EQUITY SHARE CAPITAL</v>
          </cell>
          <cell r="C247">
            <v>32.729999999999997</v>
          </cell>
          <cell r="D247">
            <v>32.729999999999997</v>
          </cell>
          <cell r="E247">
            <v>32.729999999999997</v>
          </cell>
          <cell r="F247">
            <v>32.729999999999997</v>
          </cell>
          <cell r="G247">
            <v>32.729999999999997</v>
          </cell>
          <cell r="H247">
            <v>32.729999999999997</v>
          </cell>
        </row>
        <row r="249">
          <cell r="B249" t="str">
            <v>PREFERENCE SHARE CAPITAL</v>
          </cell>
          <cell r="C249">
            <v>0</v>
          </cell>
          <cell r="D249">
            <v>2.5</v>
          </cell>
          <cell r="E249">
            <v>2.5</v>
          </cell>
          <cell r="H249">
            <v>18</v>
          </cell>
        </row>
        <row r="251">
          <cell r="B251" t="str">
            <v>RESERVES &amp; SURPLUS</v>
          </cell>
          <cell r="C251">
            <v>138.5</v>
          </cell>
          <cell r="D251">
            <v>219.18</v>
          </cell>
          <cell r="E251">
            <v>282.08999999999997</v>
          </cell>
          <cell r="F251">
            <v>258.01</v>
          </cell>
          <cell r="G251">
            <v>367.36700000000002</v>
          </cell>
          <cell r="H251">
            <v>868.21699999999998</v>
          </cell>
        </row>
        <row r="253">
          <cell r="B253" t="str">
            <v>NET  WORTH</v>
          </cell>
          <cell r="C253">
            <v>171.23</v>
          </cell>
          <cell r="D253">
            <v>254.41</v>
          </cell>
          <cell r="E253">
            <v>317.32</v>
          </cell>
          <cell r="F253">
            <v>290.74</v>
          </cell>
          <cell r="G253">
            <v>400.09700000000004</v>
          </cell>
          <cell r="H253">
            <v>918.947</v>
          </cell>
        </row>
        <row r="255">
          <cell r="B255" t="str">
            <v>UNSECURED  LOAN</v>
          </cell>
          <cell r="C255">
            <v>18.25</v>
          </cell>
          <cell r="D255">
            <v>115.25</v>
          </cell>
          <cell r="E255">
            <v>30.5</v>
          </cell>
          <cell r="F255">
            <v>0</v>
          </cell>
          <cell r="G255">
            <v>0</v>
          </cell>
          <cell r="H255">
            <v>13.885</v>
          </cell>
        </row>
        <row r="257">
          <cell r="B257" t="str">
            <v>TERM LOANS</v>
          </cell>
          <cell r="C257">
            <v>199.57999999999998</v>
          </cell>
          <cell r="D257">
            <v>237.06</v>
          </cell>
          <cell r="E257">
            <v>273.65999999999997</v>
          </cell>
          <cell r="F257">
            <v>133.68</v>
          </cell>
          <cell r="G257">
            <v>349.63</v>
          </cell>
          <cell r="H257">
            <v>754.39699999999993</v>
          </cell>
        </row>
        <row r="259">
          <cell r="B259" t="str">
            <v>EQUITY SHARES OF Rs.10 EACH</v>
          </cell>
          <cell r="C259">
            <v>327299.99999999994</v>
          </cell>
          <cell r="D259">
            <v>327299.99999999994</v>
          </cell>
          <cell r="E259">
            <v>327299.99999999994</v>
          </cell>
          <cell r="F259">
            <v>327299.99999999994</v>
          </cell>
          <cell r="G259">
            <v>327299.99999999994</v>
          </cell>
          <cell r="H259">
            <v>327299.99999999994</v>
          </cell>
        </row>
        <row r="261">
          <cell r="B261" t="str">
            <v>EPS</v>
          </cell>
          <cell r="C261">
            <v>30.434723495264286</v>
          </cell>
          <cell r="D261">
            <v>22.723501374885423</v>
          </cell>
          <cell r="E261">
            <v>23.663305835624897</v>
          </cell>
          <cell r="F261">
            <v>0.7073021692636241</v>
          </cell>
          <cell r="G261">
            <v>34.412160097770006</v>
          </cell>
          <cell r="H261">
            <v>60.754353803849746</v>
          </cell>
        </row>
        <row r="263">
          <cell r="B263" t="str">
            <v>CASH  EPS</v>
          </cell>
          <cell r="C263">
            <v>35.32014970974641</v>
          </cell>
          <cell r="D263">
            <v>28.055001527650468</v>
          </cell>
          <cell r="E263">
            <v>30.983806904980234</v>
          </cell>
          <cell r="F263">
            <v>15.077910174152107</v>
          </cell>
          <cell r="G263">
            <v>57.085242896425683</v>
          </cell>
          <cell r="H263">
            <v>79.086159486709505</v>
          </cell>
        </row>
        <row r="265">
          <cell r="B265" t="str">
            <v>DIVIDEND %</v>
          </cell>
          <cell r="C265">
            <v>0.54995417048579287</v>
          </cell>
          <cell r="D265">
            <v>0.4598353675844451</v>
          </cell>
          <cell r="E265">
            <v>0.41243258586432019</v>
          </cell>
          <cell r="F265">
            <v>0</v>
          </cell>
          <cell r="G265">
            <v>9.9908340971585713E-2</v>
          </cell>
          <cell r="H265">
            <v>0</v>
          </cell>
        </row>
        <row r="267">
          <cell r="B267" t="str">
            <v>NET  WORTH</v>
          </cell>
          <cell r="C267">
            <v>171.23</v>
          </cell>
          <cell r="D267">
            <v>254.41</v>
          </cell>
          <cell r="E267">
            <v>317.32</v>
          </cell>
          <cell r="F267">
            <v>290.74</v>
          </cell>
          <cell r="G267">
            <v>400.09700000000004</v>
          </cell>
          <cell r="H267">
            <v>918.947</v>
          </cell>
        </row>
        <row r="269">
          <cell r="B269" t="str">
            <v>BOOK VALUE PER SHARE</v>
          </cell>
          <cell r="C269">
            <v>52.315918117934622</v>
          </cell>
          <cell r="D269">
            <v>77.729911396272556</v>
          </cell>
          <cell r="E269">
            <v>96.950809654751012</v>
          </cell>
          <cell r="F269">
            <v>88.829819737244136</v>
          </cell>
          <cell r="G269">
            <v>122.24167430491906</v>
          </cell>
          <cell r="H269">
            <v>280.76596394744888</v>
          </cell>
        </row>
        <row r="271">
          <cell r="B271" t="str">
            <v>DEBT -EQUITY RATIO</v>
          </cell>
          <cell r="C271">
            <v>1.0533037787629302</v>
          </cell>
          <cell r="D271">
            <v>0.64129199805226433</v>
          </cell>
          <cell r="E271">
            <v>0.78678626875970326</v>
          </cell>
          <cell r="F271">
            <v>0.45979225424778153</v>
          </cell>
          <cell r="G271">
            <v>0.87386308820111114</v>
          </cell>
          <cell r="H271">
            <v>0.81130149909094029</v>
          </cell>
        </row>
        <row r="273">
          <cell r="B273" t="str">
            <v>CURRENT  RATIO</v>
          </cell>
          <cell r="C273">
            <v>1.3837134939245364</v>
          </cell>
          <cell r="D273">
            <v>1.7843336117408428</v>
          </cell>
          <cell r="E273">
            <v>2.09521022339284</v>
          </cell>
          <cell r="F273">
            <v>2.9369663485685584</v>
          </cell>
          <cell r="G273">
            <v>2.521364615210246</v>
          </cell>
          <cell r="H273">
            <v>3.5014525649645032</v>
          </cell>
        </row>
        <row r="275">
          <cell r="B275" t="str">
            <v>LIQUID  RATIO</v>
          </cell>
          <cell r="C275">
            <v>1.0616073331912173</v>
          </cell>
          <cell r="D275">
            <v>1.4666507576661501</v>
          </cell>
          <cell r="E275">
            <v>1.8924495171202811</v>
          </cell>
          <cell r="F275">
            <v>2.2017830236062284</v>
          </cell>
          <cell r="G275">
            <v>1.5344742906796629</v>
          </cell>
          <cell r="H275">
            <v>1.7232169842160778</v>
          </cell>
        </row>
        <row r="276">
          <cell r="B276" t="str">
            <v>=</v>
          </cell>
          <cell r="C276" t="str">
            <v>=</v>
          </cell>
          <cell r="D276" t="str">
            <v>=</v>
          </cell>
          <cell r="E276" t="str">
            <v>=</v>
          </cell>
          <cell r="F276" t="str">
            <v>=</v>
          </cell>
          <cell r="G276" t="str">
            <v>=</v>
          </cell>
          <cell r="H276" t="str">
            <v>=</v>
          </cell>
        </row>
        <row r="278">
          <cell r="H278" t="str">
            <v>(RS.IN LACS)</v>
          </cell>
        </row>
        <row r="279">
          <cell r="B279" t="str">
            <v>-</v>
          </cell>
          <cell r="C279" t="str">
            <v>-</v>
          </cell>
          <cell r="D279" t="str">
            <v>-</v>
          </cell>
          <cell r="E279" t="str">
            <v>-</v>
          </cell>
          <cell r="F279" t="str">
            <v>-</v>
          </cell>
          <cell r="G279" t="str">
            <v>-</v>
          </cell>
          <cell r="H279" t="str">
            <v>-</v>
          </cell>
        </row>
        <row r="280">
          <cell r="B280" t="str">
            <v>PARTICULARS</v>
          </cell>
          <cell r="C280" t="str">
            <v>1997-98</v>
          </cell>
          <cell r="D280" t="str">
            <v>1998-99</v>
          </cell>
          <cell r="E280" t="str">
            <v>1999-00</v>
          </cell>
          <cell r="F280" t="str">
            <v>2000-01</v>
          </cell>
          <cell r="G280" t="str">
            <v>2001-02</v>
          </cell>
          <cell r="H280" t="str">
            <v>2002-03</v>
          </cell>
        </row>
        <row r="281">
          <cell r="B281" t="str">
            <v>-</v>
          </cell>
          <cell r="C281" t="str">
            <v>-</v>
          </cell>
          <cell r="D281" t="str">
            <v>-</v>
          </cell>
          <cell r="E281" t="str">
            <v>-</v>
          </cell>
          <cell r="F281" t="str">
            <v>-</v>
          </cell>
          <cell r="G281" t="str">
            <v>-</v>
          </cell>
          <cell r="H281" t="str">
            <v>-</v>
          </cell>
        </row>
        <row r="282">
          <cell r="B282" t="str">
            <v>FIXED  ASSETS/ L.T.FUNDS</v>
          </cell>
          <cell r="C282">
            <v>0.76787642008944623</v>
          </cell>
          <cell r="D282">
            <v>0.69035139767932485</v>
          </cell>
          <cell r="E282">
            <v>0.63807363068803502</v>
          </cell>
          <cell r="F282">
            <v>0.63562037604259936</v>
          </cell>
          <cell r="G282">
            <v>0.73089271161369396</v>
          </cell>
          <cell r="H282">
            <v>0.65758623138656769</v>
          </cell>
        </row>
        <row r="284">
          <cell r="B284" t="str">
            <v>RETURN  ON NET  WORTH</v>
          </cell>
          <cell r="D284">
            <v>0.34946912884127418</v>
          </cell>
          <cell r="E284">
            <v>0.27093208332604646</v>
          </cell>
          <cell r="F284">
            <v>7.614380159852125E-3</v>
          </cell>
          <cell r="G284">
            <v>0.32607112821114453</v>
          </cell>
          <cell r="H284">
            <v>0.30150472615015139</v>
          </cell>
        </row>
        <row r="286">
          <cell r="B286" t="str">
            <v>RETURN ON  CAPITAL</v>
          </cell>
          <cell r="C286">
            <v>3.0434723495264282</v>
          </cell>
          <cell r="D286">
            <v>2.1110990632983246</v>
          </cell>
          <cell r="E286">
            <v>2.1984104456429261</v>
          </cell>
          <cell r="F286">
            <v>7.0730216926362402E-2</v>
          </cell>
          <cell r="G286">
            <v>3.4412160097770008</v>
          </cell>
          <cell r="H286">
            <v>3.9197516262566561</v>
          </cell>
        </row>
        <row r="288">
          <cell r="B288" t="str">
            <v>GROSS  PROFIT  RATIO</v>
          </cell>
          <cell r="C288">
            <v>0.18755889553464103</v>
          </cell>
          <cell r="D288">
            <v>0.19614071555238677</v>
          </cell>
          <cell r="E288">
            <v>0.13419726032338664</v>
          </cell>
          <cell r="F288">
            <v>0.12018656460902832</v>
          </cell>
          <cell r="G288">
            <v>0.13955467814492395</v>
          </cell>
          <cell r="H288">
            <v>0.12417015257822828</v>
          </cell>
        </row>
        <row r="290">
          <cell r="B290" t="str">
            <v>NET  PROFIT  RATIO</v>
          </cell>
          <cell r="C290">
            <v>7.30149602720849E-2</v>
          </cell>
          <cell r="D290">
            <v>6.79848077661383E-2</v>
          </cell>
          <cell r="E290">
            <v>3.492230969708459E-2</v>
          </cell>
          <cell r="F290">
            <v>8.8070364987934222E-4</v>
          </cell>
          <cell r="G290">
            <v>3.64513414673618E-2</v>
          </cell>
          <cell r="H290">
            <v>4.3645924742941038E-2</v>
          </cell>
        </row>
        <row r="292">
          <cell r="B292" t="str">
            <v>CAPITAL  TURNOVER RATIO</v>
          </cell>
          <cell r="C292">
            <v>41.68285976168653</v>
          </cell>
          <cell r="D292">
            <v>31.052512063582178</v>
          </cell>
          <cell r="E292">
            <v>62.951461822310542</v>
          </cell>
          <cell r="F292">
            <v>80.311029636419192</v>
          </cell>
          <cell r="G292">
            <v>94.405743965780644</v>
          </cell>
          <cell r="H292">
            <v>89.80796372954859</v>
          </cell>
        </row>
        <row r="294">
          <cell r="B294" t="str">
            <v>WORKING  CAP.  TURNOVER</v>
          </cell>
          <cell r="C294">
            <v>25.264444444444443</v>
          </cell>
          <cell r="D294">
            <v>8.3211379021830041</v>
          </cell>
          <cell r="E294">
            <v>9.8769929633918228</v>
          </cell>
          <cell r="F294">
            <v>17.039932581356151</v>
          </cell>
          <cell r="G294">
            <v>15.346296158335196</v>
          </cell>
          <cell r="H294">
            <v>11.233939830305777</v>
          </cell>
        </row>
        <row r="296">
          <cell r="B296" t="str">
            <v>ASSET COVERAGE RATIO</v>
          </cell>
          <cell r="C296">
            <v>1.4968934763002306</v>
          </cell>
          <cell r="D296">
            <v>1.7668522736859869</v>
          </cell>
          <cell r="E296">
            <v>1.4490608784623258</v>
          </cell>
          <cell r="F296">
            <v>2.0180281268701372</v>
          </cell>
          <cell r="G296">
            <v>1.567285416011212</v>
          </cell>
          <cell r="H296">
            <v>1.4728107349313426</v>
          </cell>
        </row>
        <row r="298">
          <cell r="B298" t="str">
            <v>RAW  MATERIAL  TURNOVER</v>
          </cell>
          <cell r="C298" t="e">
            <v>#DIV/0!</v>
          </cell>
          <cell r="D298" t="e">
            <v>#DIV/0!</v>
          </cell>
          <cell r="E298" t="e">
            <v>#DIV/0!</v>
          </cell>
          <cell r="F298" t="e">
            <v>#DIV/0!</v>
          </cell>
          <cell r="G298" t="e">
            <v>#DIV/0!</v>
          </cell>
          <cell r="H298" t="e">
            <v>#DIV/0!</v>
          </cell>
        </row>
        <row r="300">
          <cell r="B300" t="str">
            <v>INT./PBIT (%)</v>
          </cell>
          <cell r="C300">
            <v>0.37308160814032859</v>
          </cell>
          <cell r="D300">
            <v>0.3887436282618098</v>
          </cell>
          <cell r="E300">
            <v>0.48263193052772124</v>
          </cell>
          <cell r="F300">
            <v>0.37185681537647725</v>
          </cell>
          <cell r="G300">
            <v>0.26917149864184825</v>
          </cell>
          <cell r="H300">
            <v>0.23451015160918512</v>
          </cell>
        </row>
        <row r="301">
          <cell r="B301" t="str">
            <v>=</v>
          </cell>
          <cell r="C301" t="str">
            <v>=</v>
          </cell>
          <cell r="D301" t="str">
            <v>=</v>
          </cell>
          <cell r="E301" t="str">
            <v>=</v>
          </cell>
          <cell r="F301" t="str">
            <v>=</v>
          </cell>
          <cell r="G301" t="str">
            <v>=</v>
          </cell>
          <cell r="H301" t="str">
            <v>=</v>
          </cell>
        </row>
        <row r="332">
          <cell r="B332" t="str">
            <v>-</v>
          </cell>
          <cell r="C332" t="str">
            <v>-</v>
          </cell>
          <cell r="D332" t="str">
            <v>-</v>
          </cell>
          <cell r="E332" t="str">
            <v>-</v>
          </cell>
          <cell r="F332" t="str">
            <v>-</v>
          </cell>
          <cell r="G332" t="str">
            <v>-</v>
          </cell>
          <cell r="H332" t="str">
            <v>-</v>
          </cell>
        </row>
        <row r="333">
          <cell r="B333" t="str">
            <v>PARTICULARS</v>
          </cell>
          <cell r="C333" t="str">
            <v>1997-98</v>
          </cell>
          <cell r="D333" t="str">
            <v>1998-99</v>
          </cell>
          <cell r="E333" t="str">
            <v>1999-00</v>
          </cell>
          <cell r="F333" t="str">
            <v>2000-01</v>
          </cell>
          <cell r="G333" t="str">
            <v>2001-02</v>
          </cell>
          <cell r="H333" t="str">
            <v>2002-03</v>
          </cell>
        </row>
        <row r="334">
          <cell r="B334" t="str">
            <v>-</v>
          </cell>
          <cell r="C334" t="str">
            <v>-</v>
          </cell>
          <cell r="D334" t="str">
            <v>-</v>
          </cell>
          <cell r="E334" t="str">
            <v>-</v>
          </cell>
          <cell r="F334" t="str">
            <v>-</v>
          </cell>
          <cell r="G334" t="str">
            <v>-</v>
          </cell>
          <cell r="H334" t="str">
            <v>-</v>
          </cell>
        </row>
        <row r="335">
          <cell r="B335" t="str">
            <v>GROSS REVENUE</v>
          </cell>
          <cell r="C335">
            <v>1379.5</v>
          </cell>
          <cell r="D335">
            <v>1106.23</v>
          </cell>
          <cell r="E335">
            <v>2222.2400000000002</v>
          </cell>
          <cell r="F335">
            <v>2637.6499999999996</v>
          </cell>
          <cell r="G335">
            <v>3111.3100000000004</v>
          </cell>
          <cell r="H335">
            <v>4766.6869999999999</v>
          </cell>
        </row>
        <row r="337">
          <cell r="B337" t="str">
            <v>GROWTH IN QUANTITY</v>
          </cell>
        </row>
        <row r="338">
          <cell r="B338" t="str">
            <v>GROWTH   IN  %</v>
          </cell>
          <cell r="C338" t="e">
            <v>#REF!</v>
          </cell>
          <cell r="D338">
            <v>-0.19809351214208046</v>
          </cell>
          <cell r="E338">
            <v>1.0088408378004576</v>
          </cell>
          <cell r="F338">
            <v>0.18693300453596343</v>
          </cell>
          <cell r="G338">
            <v>0.17957651697533822</v>
          </cell>
          <cell r="H338">
            <v>0.5320514509965254</v>
          </cell>
        </row>
        <row r="340">
          <cell r="B340" t="str">
            <v>PROFIT BEFORE TAX</v>
          </cell>
          <cell r="C340">
            <v>99.61284999999998</v>
          </cell>
          <cell r="D340">
            <v>74.374019999999973</v>
          </cell>
          <cell r="E340">
            <v>77.450000000000273</v>
          </cell>
          <cell r="F340">
            <v>89.054999999999836</v>
          </cell>
          <cell r="G340">
            <v>121.88100000000122</v>
          </cell>
          <cell r="H340">
            <v>215.84900000000016</v>
          </cell>
        </row>
        <row r="342">
          <cell r="B342" t="str">
            <v>GROWTH   IN  %</v>
          </cell>
          <cell r="D342">
            <v>-0.25336921893109182</v>
          </cell>
          <cell r="E342">
            <v>4.1358259241604807E-2</v>
          </cell>
          <cell r="F342">
            <v>0.14983860555196285</v>
          </cell>
          <cell r="G342">
            <v>0.36860367188817522</v>
          </cell>
          <cell r="H342">
            <v>0.77098153116562873</v>
          </cell>
        </row>
        <row r="344">
          <cell r="B344" t="str">
            <v>PROFIT AFTER TAX</v>
          </cell>
          <cell r="C344">
            <v>99.61284999999998</v>
          </cell>
          <cell r="D344">
            <v>74.374019999999973</v>
          </cell>
          <cell r="E344">
            <v>77.450000000000273</v>
          </cell>
          <cell r="F344">
            <v>2.3149999999998414</v>
          </cell>
          <cell r="G344">
            <v>112.63100000000122</v>
          </cell>
          <cell r="H344">
            <v>198.84900000000016</v>
          </cell>
        </row>
        <row r="346">
          <cell r="B346" t="str">
            <v>DIVIDEND (%)</v>
          </cell>
          <cell r="C346">
            <v>0.54995417048579287</v>
          </cell>
          <cell r="D346">
            <v>0.4598353675844451</v>
          </cell>
          <cell r="E346">
            <v>0.41243258586432019</v>
          </cell>
          <cell r="F346">
            <v>0</v>
          </cell>
          <cell r="G346">
            <v>9.9908340971585713E-2</v>
          </cell>
          <cell r="H346">
            <v>0</v>
          </cell>
        </row>
        <row r="348">
          <cell r="B348" t="str">
            <v>SHARE CAPITAL</v>
          </cell>
          <cell r="C348">
            <v>32.729999999999997</v>
          </cell>
          <cell r="D348">
            <v>35.229999999999997</v>
          </cell>
          <cell r="E348">
            <v>35.229999999999997</v>
          </cell>
          <cell r="F348">
            <v>32.729999999999997</v>
          </cell>
          <cell r="G348">
            <v>32.729999999999997</v>
          </cell>
          <cell r="H348">
            <v>50.73</v>
          </cell>
        </row>
        <row r="350">
          <cell r="B350" t="str">
            <v>RESERVES</v>
          </cell>
          <cell r="C350">
            <v>138.5</v>
          </cell>
          <cell r="D350">
            <v>219.18</v>
          </cell>
          <cell r="E350">
            <v>282.08999999999997</v>
          </cell>
          <cell r="F350">
            <v>258.01</v>
          </cell>
          <cell r="G350">
            <v>367.36700000000002</v>
          </cell>
          <cell r="H350">
            <v>868.21699999999998</v>
          </cell>
        </row>
        <row r="352">
          <cell r="B352" t="str">
            <v>BORROWINGS</v>
          </cell>
          <cell r="C352">
            <v>312.99</v>
          </cell>
          <cell r="D352">
            <v>373.2</v>
          </cell>
          <cell r="E352">
            <v>445.56</v>
          </cell>
          <cell r="F352">
            <v>184.79</v>
          </cell>
          <cell r="G352">
            <v>395.6</v>
          </cell>
          <cell r="H352">
            <v>852.10500000000002</v>
          </cell>
        </row>
        <row r="354">
          <cell r="B354" t="str">
            <v>CAPITAL EMPLOYED</v>
          </cell>
          <cell r="C354">
            <v>502.47</v>
          </cell>
          <cell r="D354">
            <v>742.86</v>
          </cell>
          <cell r="E354">
            <v>793.38</v>
          </cell>
          <cell r="F354">
            <v>475.53</v>
          </cell>
          <cell r="G354">
            <v>795.69700000000012</v>
          </cell>
          <cell r="H354">
            <v>1784.9369999999999</v>
          </cell>
        </row>
        <row r="356">
          <cell r="B356" t="str">
            <v>NET WORTH</v>
          </cell>
          <cell r="C356">
            <v>171.23</v>
          </cell>
          <cell r="D356">
            <v>254.41</v>
          </cell>
          <cell r="E356">
            <v>317.32</v>
          </cell>
          <cell r="F356">
            <v>290.74</v>
          </cell>
          <cell r="G356">
            <v>400.09700000000004</v>
          </cell>
          <cell r="H356">
            <v>918.947</v>
          </cell>
        </row>
        <row r="358">
          <cell r="B358" t="str">
            <v>GROSS BLOCK</v>
          </cell>
          <cell r="C358">
            <v>314.74</v>
          </cell>
          <cell r="D358">
            <v>452.29</v>
          </cell>
          <cell r="E358">
            <v>453.95</v>
          </cell>
          <cell r="F358">
            <v>460.74</v>
          </cell>
          <cell r="G358">
            <v>813.14</v>
          </cell>
          <cell r="H358">
            <v>1436.258</v>
          </cell>
        </row>
        <row r="360">
          <cell r="B360" t="str">
            <v>NET BLOCK</v>
          </cell>
          <cell r="C360">
            <v>298.75</v>
          </cell>
          <cell r="D360">
            <v>418.85</v>
          </cell>
          <cell r="E360">
            <v>396.55</v>
          </cell>
          <cell r="F360">
            <v>269.77</v>
          </cell>
          <cell r="G360">
            <v>547.97</v>
          </cell>
          <cell r="H360">
            <v>1111.0840000000001</v>
          </cell>
        </row>
        <row r="361">
          <cell r="B361">
            <v>0</v>
          </cell>
        </row>
        <row r="362">
          <cell r="B362" t="str">
            <v>DEBT-EQUITY RATIO</v>
          </cell>
          <cell r="C362">
            <v>1.1655667815219297</v>
          </cell>
          <cell r="D362">
            <v>0.93180299516528442</v>
          </cell>
          <cell r="E362">
            <v>0.86241018530190339</v>
          </cell>
          <cell r="F362">
            <v>0.45979225424778153</v>
          </cell>
          <cell r="G362">
            <v>0.87386308820111114</v>
          </cell>
          <cell r="H362">
            <v>0.82356000944559371</v>
          </cell>
        </row>
        <row r="364">
          <cell r="B364" t="str">
            <v>NUMBER OF SHARES</v>
          </cell>
          <cell r="C364">
            <v>327299.99999999994</v>
          </cell>
          <cell r="D364">
            <v>327299.99999999994</v>
          </cell>
          <cell r="E364">
            <v>327299.99999999994</v>
          </cell>
          <cell r="F364">
            <v>327299.99999999994</v>
          </cell>
          <cell r="G364">
            <v>327299.99999999994</v>
          </cell>
          <cell r="H364">
            <v>327299.99999999994</v>
          </cell>
        </row>
        <row r="366">
          <cell r="B366" t="str">
            <v>BOOK VALUE PER SHARE AT YEAR END</v>
          </cell>
          <cell r="C366">
            <v>52.315918117934622</v>
          </cell>
          <cell r="D366">
            <v>77.729911396272556</v>
          </cell>
          <cell r="E366">
            <v>96.950809654751012</v>
          </cell>
          <cell r="F366">
            <v>88.829819737244136</v>
          </cell>
          <cell r="G366">
            <v>122.24167430491906</v>
          </cell>
          <cell r="H366">
            <v>280.76596394744888</v>
          </cell>
        </row>
        <row r="368">
          <cell r="B368" t="str">
            <v>EARNINGS PER SHARE</v>
          </cell>
          <cell r="C368">
            <v>30.434723495264286</v>
          </cell>
          <cell r="D368">
            <v>22.723501374885423</v>
          </cell>
          <cell r="E368">
            <v>23.663305835624897</v>
          </cell>
          <cell r="F368">
            <v>0.7073021692636241</v>
          </cell>
          <cell r="G368">
            <v>34.412160097770006</v>
          </cell>
          <cell r="H368">
            <v>60.754353803849746</v>
          </cell>
        </row>
        <row r="370">
          <cell r="B370" t="str">
            <v>NET SALES PER SHARE</v>
          </cell>
          <cell r="C370">
            <v>416.82859761686535</v>
          </cell>
          <cell r="D370">
            <v>0</v>
          </cell>
          <cell r="E370">
            <v>334.24381301558213</v>
          </cell>
          <cell r="F370">
            <v>0</v>
          </cell>
          <cell r="G370">
            <v>677.59853345554552</v>
          </cell>
          <cell r="H370">
            <v>0</v>
          </cell>
        </row>
        <row r="372">
          <cell r="B372" t="str">
            <v>DIVIDEND PER SHARE</v>
          </cell>
          <cell r="C372">
            <v>5.49954170485793</v>
          </cell>
          <cell r="D372">
            <v>0.14049354341107398</v>
          </cell>
          <cell r="E372">
            <v>4.9495875343721361</v>
          </cell>
          <cell r="F372">
            <v>0.12601056702240154</v>
          </cell>
          <cell r="G372">
            <v>4.4393522761992061</v>
          </cell>
          <cell r="H372">
            <v>0</v>
          </cell>
        </row>
        <row r="374">
          <cell r="B374" t="str">
            <v>PAY-OUT RATIO</v>
          </cell>
          <cell r="C374">
            <v>0.18069957841784473</v>
          </cell>
          <cell r="D374">
            <v>0.21781799612283972</v>
          </cell>
          <cell r="E374">
            <v>0.18760490639121946</v>
          </cell>
          <cell r="F374">
            <v>0</v>
          </cell>
          <cell r="G374">
            <v>2.9032859514698126E-2</v>
          </cell>
          <cell r="H374">
            <v>0</v>
          </cell>
        </row>
        <row r="376">
          <cell r="B376" t="str">
            <v>CURRENT RATIO</v>
          </cell>
          <cell r="C376">
            <v>1.3837134939245364</v>
          </cell>
          <cell r="D376">
            <v>1.7843336117408428</v>
          </cell>
          <cell r="E376">
            <v>2.09521022339284</v>
          </cell>
          <cell r="F376">
            <v>2.9369663485685584</v>
          </cell>
          <cell r="G376">
            <v>2.521364615210246</v>
          </cell>
          <cell r="H376">
            <v>3.5014525649645032</v>
          </cell>
        </row>
        <row r="378">
          <cell r="B378" t="str">
            <v>LIQUID RATIO</v>
          </cell>
          <cell r="C378">
            <v>1.0616073331912173</v>
          </cell>
          <cell r="D378">
            <v>1.4666507576661501</v>
          </cell>
          <cell r="E378">
            <v>1.8924495171202811</v>
          </cell>
          <cell r="F378">
            <v>2.2017830236062284</v>
          </cell>
          <cell r="G378">
            <v>1.5344742906796629</v>
          </cell>
          <cell r="H378">
            <v>1.7232169842160778</v>
          </cell>
        </row>
        <row r="379">
          <cell r="B379" t="str">
            <v>EVA (ECONOMIC VALUE ADDITION)</v>
          </cell>
          <cell r="C379" t="e">
            <v>#REF!</v>
          </cell>
          <cell r="D379" t="e">
            <v>#REF!</v>
          </cell>
          <cell r="E379" t="e">
            <v>#REF!</v>
          </cell>
          <cell r="F379" t="e">
            <v>#REF!</v>
          </cell>
          <cell r="G379" t="e">
            <v>#REF!</v>
          </cell>
          <cell r="H379" t="e">
            <v>#REF!</v>
          </cell>
        </row>
        <row r="381">
          <cell r="B381" t="str">
            <v>EVA (% OF CAPITAL EMPLOYED)</v>
          </cell>
          <cell r="C381" t="e">
            <v>#REF!</v>
          </cell>
          <cell r="D381" t="e">
            <v>#REF!</v>
          </cell>
          <cell r="E381" t="e">
            <v>#REF!</v>
          </cell>
          <cell r="F381" t="e">
            <v>#REF!</v>
          </cell>
          <cell r="G381" t="e">
            <v>#REF!</v>
          </cell>
          <cell r="H381" t="e">
            <v>#REF!</v>
          </cell>
        </row>
        <row r="383">
          <cell r="B383" t="str">
            <v>RETURN ON NET WORTH</v>
          </cell>
          <cell r="C383">
            <v>0.58174881738013196</v>
          </cell>
          <cell r="D383">
            <v>0.29233921622577719</v>
          </cell>
          <cell r="E383">
            <v>0.24407538131854367</v>
          </cell>
          <cell r="F383">
            <v>7.9624406686381009E-3</v>
          </cell>
          <cell r="G383">
            <v>0.28150923401075545</v>
          </cell>
          <cell r="H383">
            <v>0.21638788744073398</v>
          </cell>
        </row>
        <row r="385">
          <cell r="B385" t="str">
            <v>FIXED ASSETS  PER SHARE</v>
          </cell>
          <cell r="C385">
            <v>91.277115795905914</v>
          </cell>
          <cell r="D385">
            <v>127.97128017109688</v>
          </cell>
          <cell r="E385">
            <v>121.15795905896734</v>
          </cell>
          <cell r="F385">
            <v>82.422853651084651</v>
          </cell>
          <cell r="G385">
            <v>167.42132600061109</v>
          </cell>
          <cell r="H385">
            <v>339.46959975557598</v>
          </cell>
        </row>
        <row r="388">
          <cell r="B388" t="str">
            <v>=</v>
          </cell>
          <cell r="C388" t="str">
            <v>=</v>
          </cell>
          <cell r="D388" t="str">
            <v>=</v>
          </cell>
          <cell r="E388" t="str">
            <v>=</v>
          </cell>
          <cell r="F388" t="str">
            <v>=</v>
          </cell>
          <cell r="G388" t="str">
            <v>=</v>
          </cell>
          <cell r="H388" t="str">
            <v>=</v>
          </cell>
        </row>
      </sheetData>
      <sheetData sheetId="2">
        <row r="2">
          <cell r="B2" t="str">
            <v>WELLKNOWN  TEXTILE  INDUSTRIES  LIMITED</v>
          </cell>
        </row>
        <row r="3">
          <cell r="B3" t="str">
            <v>-</v>
          </cell>
          <cell r="C3" t="str">
            <v>-</v>
          </cell>
          <cell r="D3" t="str">
            <v>-</v>
          </cell>
          <cell r="E3">
            <v>0</v>
          </cell>
          <cell r="F3">
            <v>0</v>
          </cell>
          <cell r="G3">
            <v>0</v>
          </cell>
          <cell r="H3">
            <v>0</v>
          </cell>
        </row>
        <row r="4">
          <cell r="B4" t="str">
            <v>BALANCE    SHEET     FOR    LAST    SIX     YEARS</v>
          </cell>
        </row>
        <row r="5">
          <cell r="G5" t="str">
            <v>(RS.IN LACS)</v>
          </cell>
        </row>
        <row r="6">
          <cell r="B6" t="str">
            <v>-</v>
          </cell>
          <cell r="C6" t="str">
            <v>-</v>
          </cell>
          <cell r="D6" t="str">
            <v>-</v>
          </cell>
          <cell r="E6" t="str">
            <v>-</v>
          </cell>
          <cell r="F6" t="str">
            <v>-</v>
          </cell>
          <cell r="G6" t="str">
            <v>-</v>
          </cell>
          <cell r="H6" t="str">
            <v>-</v>
          </cell>
        </row>
        <row r="7">
          <cell r="B7" t="str">
            <v>PARTICULARS</v>
          </cell>
          <cell r="C7" t="str">
            <v>1997-98</v>
          </cell>
          <cell r="D7" t="str">
            <v>1998-99</v>
          </cell>
          <cell r="E7" t="str">
            <v>1999-00</v>
          </cell>
          <cell r="F7" t="str">
            <v>2000-01</v>
          </cell>
          <cell r="G7" t="str">
            <v>2001-02</v>
          </cell>
          <cell r="H7" t="str">
            <v>2002-03</v>
          </cell>
        </row>
        <row r="8">
          <cell r="B8" t="str">
            <v>-</v>
          </cell>
          <cell r="C8" t="str">
            <v>-</v>
          </cell>
          <cell r="D8" t="str">
            <v>-</v>
          </cell>
          <cell r="E8" t="str">
            <v>-</v>
          </cell>
          <cell r="F8" t="str">
            <v>-</v>
          </cell>
          <cell r="G8" t="str">
            <v>-</v>
          </cell>
          <cell r="H8" t="str">
            <v>-</v>
          </cell>
        </row>
        <row r="9">
          <cell r="B9" t="str">
            <v>SOURCES OF  FUNDS</v>
          </cell>
        </row>
        <row r="11">
          <cell r="B11" t="str">
            <v>Shareholders' Funds</v>
          </cell>
        </row>
        <row r="13">
          <cell r="B13" t="str">
            <v>a. Share  Capital</v>
          </cell>
          <cell r="C13">
            <v>265.87599999999998</v>
          </cell>
          <cell r="D13">
            <v>268.02600000000001</v>
          </cell>
          <cell r="E13">
            <v>248.03</v>
          </cell>
          <cell r="F13">
            <v>235.80600000000001</v>
          </cell>
          <cell r="G13">
            <v>220.01</v>
          </cell>
          <cell r="H13">
            <v>229.01</v>
          </cell>
        </row>
        <row r="14">
          <cell r="B14" t="str">
            <v xml:space="preserve">    Growth  %</v>
          </cell>
          <cell r="C14">
            <v>0</v>
          </cell>
          <cell r="D14">
            <v>8.0864764025336405E-3</v>
          </cell>
          <cell r="E14">
            <v>-7.4604702528859174E-2</v>
          </cell>
          <cell r="F14">
            <v>-4.9284360762810911E-2</v>
          </cell>
          <cell r="G14">
            <v>-6.6987269195864479E-2</v>
          </cell>
          <cell r="H14">
            <v>4.0907231489477752E-2</v>
          </cell>
        </row>
        <row r="16">
          <cell r="B16" t="str">
            <v>b. Share Application  Money</v>
          </cell>
          <cell r="C16">
            <v>0</v>
          </cell>
          <cell r="D16">
            <v>69.95</v>
          </cell>
          <cell r="E16">
            <v>119.49</v>
          </cell>
          <cell r="F16">
            <v>25.75</v>
          </cell>
          <cell r="G16">
            <v>91.35</v>
          </cell>
          <cell r="H16">
            <v>3.2</v>
          </cell>
        </row>
        <row r="17">
          <cell r="C17">
            <v>0</v>
          </cell>
          <cell r="D17">
            <v>0</v>
          </cell>
          <cell r="E17">
            <v>0</v>
          </cell>
          <cell r="F17">
            <v>0</v>
          </cell>
          <cell r="G17">
            <v>0</v>
          </cell>
          <cell r="H17">
            <v>0</v>
          </cell>
        </row>
        <row r="18">
          <cell r="B18" t="str">
            <v>c. Reserves and Surplus</v>
          </cell>
          <cell r="C18">
            <v>101.946</v>
          </cell>
          <cell r="D18">
            <v>226.69499999999999</v>
          </cell>
          <cell r="E18">
            <v>250.63</v>
          </cell>
          <cell r="F18">
            <v>189.11</v>
          </cell>
          <cell r="G18">
            <v>223.72</v>
          </cell>
          <cell r="H18">
            <v>446.13900000000001</v>
          </cell>
        </row>
        <row r="19">
          <cell r="B19" t="str">
            <v xml:space="preserve">    Growth  %</v>
          </cell>
          <cell r="C19">
            <v>0</v>
          </cell>
          <cell r="D19">
            <v>1.223677240892237</v>
          </cell>
          <cell r="E19">
            <v>0.10558239043648956</v>
          </cell>
          <cell r="F19">
            <v>-0.24546143717831059</v>
          </cell>
          <cell r="G19">
            <v>0.1830151763523874</v>
          </cell>
          <cell r="H19">
            <v>0.99418469515465768</v>
          </cell>
        </row>
        <row r="21">
          <cell r="C21" t="str">
            <v>-</v>
          </cell>
          <cell r="D21" t="str">
            <v>-</v>
          </cell>
          <cell r="E21" t="str">
            <v>-</v>
          </cell>
          <cell r="F21" t="str">
            <v>-</v>
          </cell>
          <cell r="G21" t="str">
            <v>-</v>
          </cell>
          <cell r="H21" t="str">
            <v>-</v>
          </cell>
        </row>
        <row r="22">
          <cell r="C22">
            <v>367.822</v>
          </cell>
          <cell r="D22">
            <v>564.67100000000005</v>
          </cell>
          <cell r="E22">
            <v>618.15</v>
          </cell>
          <cell r="F22">
            <v>450.66600000000005</v>
          </cell>
          <cell r="G22">
            <v>535.08000000000004</v>
          </cell>
          <cell r="H22">
            <v>678.34899999999993</v>
          </cell>
        </row>
        <row r="23">
          <cell r="C23" t="str">
            <v>-</v>
          </cell>
          <cell r="D23" t="str">
            <v>-</v>
          </cell>
          <cell r="E23" t="str">
            <v>-</v>
          </cell>
          <cell r="F23" t="str">
            <v>-</v>
          </cell>
          <cell r="G23" t="str">
            <v>-</v>
          </cell>
          <cell r="H23" t="str">
            <v>-</v>
          </cell>
        </row>
        <row r="24">
          <cell r="B24" t="str">
            <v>Loan  Funds</v>
          </cell>
          <cell r="C24">
            <v>0</v>
          </cell>
          <cell r="D24">
            <v>0</v>
          </cell>
          <cell r="E24">
            <v>0</v>
          </cell>
          <cell r="F24">
            <v>0</v>
          </cell>
          <cell r="G24">
            <v>0</v>
          </cell>
          <cell r="H24">
            <v>0</v>
          </cell>
        </row>
        <row r="26">
          <cell r="B26" t="str">
            <v>a. Secured  Loans</v>
          </cell>
          <cell r="C26">
            <v>384.58</v>
          </cell>
          <cell r="D26">
            <v>449.11799999999999</v>
          </cell>
          <cell r="E26">
            <v>755.16</v>
          </cell>
          <cell r="F26">
            <v>655.49</v>
          </cell>
          <cell r="G26">
            <v>382.80700000000002</v>
          </cell>
          <cell r="H26">
            <v>364.95400000000001</v>
          </cell>
        </row>
        <row r="27">
          <cell r="B27" t="str">
            <v xml:space="preserve">    Growth  %</v>
          </cell>
          <cell r="C27">
            <v>0</v>
          </cell>
          <cell r="D27">
            <v>0.16781423890997976</v>
          </cell>
          <cell r="E27">
            <v>0.68142893404405969</v>
          </cell>
          <cell r="F27">
            <v>-0.13198527464378404</v>
          </cell>
          <cell r="G27">
            <v>-0.41599871851591935</v>
          </cell>
          <cell r="H27">
            <v>-4.6637078214348246E-2</v>
          </cell>
        </row>
        <row r="29">
          <cell r="B29" t="str">
            <v>b.  Unsecured  Loans</v>
          </cell>
          <cell r="C29">
            <v>71.117000000000004</v>
          </cell>
          <cell r="D29">
            <v>194.89</v>
          </cell>
          <cell r="E29">
            <v>86.25</v>
          </cell>
          <cell r="F29">
            <v>13.775</v>
          </cell>
          <cell r="G29">
            <v>17.29</v>
          </cell>
          <cell r="H29">
            <v>84.9</v>
          </cell>
        </row>
        <row r="30">
          <cell r="C30" t="str">
            <v>-</v>
          </cell>
          <cell r="D30" t="str">
            <v>-</v>
          </cell>
          <cell r="E30" t="str">
            <v>-</v>
          </cell>
          <cell r="F30" t="str">
            <v>-</v>
          </cell>
          <cell r="G30" t="str">
            <v>-</v>
          </cell>
          <cell r="H30" t="str">
            <v>-</v>
          </cell>
        </row>
        <row r="31">
          <cell r="C31">
            <v>455.697</v>
          </cell>
          <cell r="D31">
            <v>644.00800000000004</v>
          </cell>
          <cell r="E31">
            <v>841.41</v>
          </cell>
          <cell r="F31">
            <v>669.26499999999999</v>
          </cell>
          <cell r="G31">
            <v>400.09700000000004</v>
          </cell>
          <cell r="H31">
            <v>449.85400000000004</v>
          </cell>
        </row>
        <row r="32">
          <cell r="C32" t="str">
            <v>-</v>
          </cell>
          <cell r="D32" t="str">
            <v>-</v>
          </cell>
          <cell r="E32" t="str">
            <v>-</v>
          </cell>
          <cell r="F32" t="str">
            <v>-</v>
          </cell>
          <cell r="G32" t="str">
            <v>-</v>
          </cell>
          <cell r="H32" t="str">
            <v>-</v>
          </cell>
        </row>
        <row r="34">
          <cell r="C34" t="str">
            <v>-</v>
          </cell>
          <cell r="D34" t="str">
            <v>-</v>
          </cell>
          <cell r="E34" t="str">
            <v>-</v>
          </cell>
          <cell r="F34" t="str">
            <v>-</v>
          </cell>
          <cell r="G34" t="str">
            <v>-</v>
          </cell>
          <cell r="H34" t="str">
            <v>-</v>
          </cell>
        </row>
        <row r="35">
          <cell r="B35" t="str">
            <v>TOTAL</v>
          </cell>
          <cell r="C35">
            <v>823.51900000000001</v>
          </cell>
          <cell r="D35">
            <v>1208.6790000000001</v>
          </cell>
          <cell r="E35">
            <v>1459.56</v>
          </cell>
          <cell r="F35">
            <v>1119.931</v>
          </cell>
          <cell r="G35">
            <v>935.17700000000013</v>
          </cell>
          <cell r="H35">
            <v>1128.203</v>
          </cell>
        </row>
        <row r="36">
          <cell r="C36" t="str">
            <v>=</v>
          </cell>
          <cell r="D36" t="str">
            <v>=</v>
          </cell>
          <cell r="E36" t="str">
            <v>=</v>
          </cell>
          <cell r="F36" t="str">
            <v>=</v>
          </cell>
          <cell r="G36" t="str">
            <v>=</v>
          </cell>
          <cell r="H36" t="str">
            <v>=</v>
          </cell>
        </row>
        <row r="38">
          <cell r="B38" t="str">
            <v>APPLICATION  OF  FUNDS</v>
          </cell>
        </row>
        <row r="40">
          <cell r="B40" t="str">
            <v>Fixed  Assets</v>
          </cell>
        </row>
        <row r="42">
          <cell r="B42" t="str">
            <v>Gross  Block</v>
          </cell>
          <cell r="C42">
            <v>692.09</v>
          </cell>
          <cell r="D42">
            <v>1022.12</v>
          </cell>
          <cell r="E42">
            <v>1194.46</v>
          </cell>
          <cell r="F42">
            <v>1227.2090000000001</v>
          </cell>
          <cell r="G42">
            <v>1191.136</v>
          </cell>
          <cell r="H42">
            <v>1191.6199999999999</v>
          </cell>
        </row>
        <row r="43">
          <cell r="B43" t="str">
            <v>Growth  %</v>
          </cell>
          <cell r="C43">
            <v>0</v>
          </cell>
          <cell r="D43">
            <v>0.4768599459607854</v>
          </cell>
          <cell r="E43">
            <v>0.16861033929479907</v>
          </cell>
          <cell r="F43">
            <v>2.7417410377911376E-2</v>
          </cell>
          <cell r="G43">
            <v>-2.939434114319573E-2</v>
          </cell>
          <cell r="H43">
            <v>4.0633479300426116E-4</v>
          </cell>
        </row>
        <row r="44">
          <cell r="B44">
            <v>0</v>
          </cell>
        </row>
        <row r="45">
          <cell r="B45" t="str">
            <v>Less: Depreciation</v>
          </cell>
          <cell r="C45">
            <v>114.96</v>
          </cell>
          <cell r="D45">
            <v>151.69999999999999</v>
          </cell>
          <cell r="E45">
            <v>199.53</v>
          </cell>
          <cell r="F45">
            <v>459.92</v>
          </cell>
          <cell r="G45">
            <v>602.54999999999995</v>
          </cell>
          <cell r="H45">
            <v>677.55</v>
          </cell>
        </row>
        <row r="46">
          <cell r="C46" t="str">
            <v>-</v>
          </cell>
          <cell r="D46" t="str">
            <v>-</v>
          </cell>
          <cell r="E46" t="str">
            <v>-</v>
          </cell>
          <cell r="F46" t="str">
            <v>-</v>
          </cell>
          <cell r="G46" t="str">
            <v>-</v>
          </cell>
          <cell r="H46" t="str">
            <v>-</v>
          </cell>
        </row>
        <row r="47">
          <cell r="B47" t="str">
            <v>Net  Block</v>
          </cell>
          <cell r="C47">
            <v>577.13</v>
          </cell>
          <cell r="D47">
            <v>870.42000000000007</v>
          </cell>
          <cell r="E47">
            <v>994.93000000000006</v>
          </cell>
          <cell r="F47">
            <v>767.28899999999999</v>
          </cell>
          <cell r="G47">
            <v>588.58600000000001</v>
          </cell>
          <cell r="H47">
            <v>514.06999999999994</v>
          </cell>
        </row>
        <row r="49">
          <cell r="B49" t="str">
            <v>Investments</v>
          </cell>
          <cell r="C49">
            <v>21.13</v>
          </cell>
          <cell r="D49">
            <v>56.418999999999997</v>
          </cell>
          <cell r="E49">
            <v>56.41</v>
          </cell>
          <cell r="F49">
            <v>49.79</v>
          </cell>
          <cell r="G49">
            <v>49.79</v>
          </cell>
          <cell r="H49">
            <v>249.79</v>
          </cell>
        </row>
        <row r="50">
          <cell r="B50" t="str">
            <v>Growth  %</v>
          </cell>
          <cell r="C50">
            <v>0</v>
          </cell>
          <cell r="D50">
            <v>1.6700899195456698</v>
          </cell>
          <cell r="E50">
            <v>-1.5952072883249156E-4</v>
          </cell>
          <cell r="F50">
            <v>-0.11735507888672217</v>
          </cell>
          <cell r="G50">
            <v>0</v>
          </cell>
          <cell r="H50">
            <v>4.0168708576019281</v>
          </cell>
        </row>
        <row r="52">
          <cell r="B52" t="str">
            <v>Current Assets, Loans &amp; Advances</v>
          </cell>
        </row>
        <row r="54">
          <cell r="B54" t="str">
            <v>a. Inventories</v>
          </cell>
          <cell r="C54">
            <v>59.53</v>
          </cell>
          <cell r="D54">
            <v>75.837000000000003</v>
          </cell>
          <cell r="E54">
            <v>114.19</v>
          </cell>
          <cell r="F54">
            <v>169.51</v>
          </cell>
          <cell r="G54">
            <v>144.63300000000001</v>
          </cell>
          <cell r="H54">
            <v>117.34699999999999</v>
          </cell>
        </row>
        <row r="56">
          <cell r="B56" t="str">
            <v>b. Sundry  Debtors</v>
          </cell>
          <cell r="C56">
            <v>52.31</v>
          </cell>
          <cell r="D56">
            <v>38.17</v>
          </cell>
          <cell r="E56">
            <v>84.45</v>
          </cell>
          <cell r="F56">
            <v>97.71</v>
          </cell>
          <cell r="G56">
            <v>126.718</v>
          </cell>
          <cell r="H56">
            <v>50.72</v>
          </cell>
        </row>
        <row r="58">
          <cell r="B58" t="str">
            <v>c.  Cash &amp; Bank Balances</v>
          </cell>
          <cell r="C58">
            <v>0.48</v>
          </cell>
          <cell r="D58">
            <v>0.54800000000000004</v>
          </cell>
          <cell r="E58">
            <v>5.32</v>
          </cell>
          <cell r="F58">
            <v>27.18</v>
          </cell>
          <cell r="G58">
            <v>1.7090000000000001</v>
          </cell>
          <cell r="H58">
            <v>1.8939999999999999</v>
          </cell>
        </row>
        <row r="60">
          <cell r="B60" t="str">
            <v>d.  Loans &amp;  Advances</v>
          </cell>
          <cell r="C60">
            <v>85.944000000000003</v>
          </cell>
          <cell r="D60">
            <v>200.56800000000001</v>
          </cell>
          <cell r="E60">
            <v>228.04</v>
          </cell>
          <cell r="F60">
            <v>12.129999999999999</v>
          </cell>
          <cell r="G60">
            <v>33.356999999999999</v>
          </cell>
          <cell r="H60">
            <v>61.322999999999993</v>
          </cell>
        </row>
        <row r="62">
          <cell r="B62" t="str">
            <v>e.  Deposits</v>
          </cell>
          <cell r="C62">
            <v>26.745999999999999</v>
          </cell>
          <cell r="D62">
            <v>2.82</v>
          </cell>
          <cell r="E62">
            <v>6.84</v>
          </cell>
          <cell r="F62">
            <v>6.84</v>
          </cell>
          <cell r="G62">
            <v>6.88</v>
          </cell>
          <cell r="H62">
            <v>8.1999999999999993</v>
          </cell>
        </row>
        <row r="64">
          <cell r="B64" t="str">
            <v>f. Trade  Investments</v>
          </cell>
          <cell r="C64">
            <v>29.998999999999999</v>
          </cell>
          <cell r="D64">
            <v>58.198999999999998</v>
          </cell>
          <cell r="E64">
            <v>58.198999999999998</v>
          </cell>
          <cell r="F64">
            <v>58.198999999999998</v>
          </cell>
          <cell r="G64">
            <v>58.198999999999998</v>
          </cell>
          <cell r="H64">
            <v>178.19900000000001</v>
          </cell>
        </row>
        <row r="65">
          <cell r="C65" t="str">
            <v>-</v>
          </cell>
          <cell r="D65" t="str">
            <v>-</v>
          </cell>
          <cell r="E65" t="str">
            <v>-</v>
          </cell>
          <cell r="F65" t="str">
            <v>-</v>
          </cell>
          <cell r="G65" t="str">
            <v>-</v>
          </cell>
          <cell r="H65" t="str">
            <v>-</v>
          </cell>
        </row>
        <row r="66">
          <cell r="C66">
            <v>255.00900000000001</v>
          </cell>
          <cell r="D66">
            <v>376.14200000000005</v>
          </cell>
          <cell r="E66">
            <v>497.03899999999999</v>
          </cell>
          <cell r="F66">
            <v>371.56899999999996</v>
          </cell>
          <cell r="G66">
            <v>371.49600000000004</v>
          </cell>
          <cell r="H66">
            <v>417.68299999999999</v>
          </cell>
        </row>
        <row r="68">
          <cell r="B68" t="str">
            <v>Less: Current  Liabilities</v>
          </cell>
          <cell r="C68">
            <v>35.774999999999999</v>
          </cell>
          <cell r="D68">
            <v>99.53</v>
          </cell>
          <cell r="E68">
            <v>93.27</v>
          </cell>
          <cell r="F68">
            <v>72.38</v>
          </cell>
          <cell r="G68">
            <v>77.563999999999993</v>
          </cell>
          <cell r="H68">
            <v>56.210999999999999</v>
          </cell>
        </row>
        <row r="69">
          <cell r="C69" t="str">
            <v>-</v>
          </cell>
          <cell r="D69" t="str">
            <v>-</v>
          </cell>
          <cell r="E69" t="str">
            <v>-</v>
          </cell>
          <cell r="F69" t="str">
            <v>-</v>
          </cell>
          <cell r="G69" t="str">
            <v>-</v>
          </cell>
          <cell r="H69" t="str">
            <v>-</v>
          </cell>
        </row>
        <row r="70">
          <cell r="B70" t="str">
            <v>Net  Current  Assets</v>
          </cell>
          <cell r="C70">
            <v>219.23400000000001</v>
          </cell>
          <cell r="D70">
            <v>276.61200000000008</v>
          </cell>
          <cell r="E70">
            <v>403.76900000000001</v>
          </cell>
          <cell r="F70">
            <v>299.18899999999996</v>
          </cell>
          <cell r="G70">
            <v>293.93200000000002</v>
          </cell>
          <cell r="H70">
            <v>361.47199999999998</v>
          </cell>
        </row>
        <row r="72">
          <cell r="B72" t="str">
            <v>Miscellaneous Expenditure</v>
          </cell>
          <cell r="C72">
            <v>6.0209999999999999</v>
          </cell>
          <cell r="D72">
            <v>5.23</v>
          </cell>
          <cell r="E72">
            <v>4.4405000000000001</v>
          </cell>
          <cell r="F72">
            <v>3.6559999999999997</v>
          </cell>
          <cell r="G72">
            <v>2.8719999999999999</v>
          </cell>
          <cell r="H72">
            <v>2.8719999999999999</v>
          </cell>
        </row>
        <row r="74">
          <cell r="B74" t="str">
            <v>(to the extent not written off or adjusted)</v>
          </cell>
        </row>
        <row r="76">
          <cell r="B76" t="str">
            <v>Preliminary  Expenses</v>
          </cell>
          <cell r="C76">
            <v>4</v>
          </cell>
          <cell r="D76">
            <v>3.44</v>
          </cell>
          <cell r="E76">
            <v>2.8759999999999999</v>
          </cell>
          <cell r="F76">
            <v>2.3159999999999998</v>
          </cell>
          <cell r="G76">
            <v>1.7549999999999999</v>
          </cell>
          <cell r="H76">
            <v>1.7549999999999999</v>
          </cell>
        </row>
        <row r="78">
          <cell r="B78" t="str">
            <v>Deferred  Revenue  Expenditure</v>
          </cell>
          <cell r="C78">
            <v>2.0209999999999999</v>
          </cell>
          <cell r="D78">
            <v>1.79</v>
          </cell>
          <cell r="E78">
            <v>1.5645</v>
          </cell>
          <cell r="F78">
            <v>1.34</v>
          </cell>
          <cell r="G78">
            <v>1.117</v>
          </cell>
          <cell r="H78">
            <v>1.117</v>
          </cell>
        </row>
        <row r="80">
          <cell r="C80" t="str">
            <v>-</v>
          </cell>
          <cell r="D80" t="str">
            <v>-</v>
          </cell>
          <cell r="E80" t="str">
            <v>-</v>
          </cell>
          <cell r="F80" t="str">
            <v>-</v>
          </cell>
          <cell r="G80" t="str">
            <v>-</v>
          </cell>
          <cell r="H80" t="str">
            <v>-</v>
          </cell>
        </row>
        <row r="81">
          <cell r="B81" t="str">
            <v>TOTAL….</v>
          </cell>
          <cell r="C81">
            <v>823.51499999999999</v>
          </cell>
          <cell r="D81">
            <v>1208.681</v>
          </cell>
          <cell r="E81">
            <v>1459.5495000000001</v>
          </cell>
          <cell r="F81">
            <v>1119.924</v>
          </cell>
          <cell r="G81">
            <v>935.18</v>
          </cell>
          <cell r="H81">
            <v>1128.204</v>
          </cell>
        </row>
        <row r="82">
          <cell r="C82" t="str">
            <v>=</v>
          </cell>
          <cell r="D82" t="str">
            <v>=</v>
          </cell>
          <cell r="E82" t="str">
            <v>=</v>
          </cell>
          <cell r="F82" t="str">
            <v>=</v>
          </cell>
          <cell r="G82" t="str">
            <v>=</v>
          </cell>
          <cell r="H82" t="str">
            <v>=</v>
          </cell>
        </row>
        <row r="86">
          <cell r="B86" t="str">
            <v>PROFIT  AND  LOSS  ACCOUNT  FOR  LAST SIX  YEARS</v>
          </cell>
        </row>
        <row r="87">
          <cell r="L87" t="str">
            <v>(RS.IN LACS)</v>
          </cell>
        </row>
        <row r="88">
          <cell r="B88" t="str">
            <v>-</v>
          </cell>
          <cell r="C88" t="str">
            <v>-</v>
          </cell>
          <cell r="D88" t="str">
            <v>-</v>
          </cell>
          <cell r="E88" t="str">
            <v>-</v>
          </cell>
          <cell r="F88" t="str">
            <v>-</v>
          </cell>
          <cell r="G88" t="str">
            <v>-</v>
          </cell>
          <cell r="H88" t="str">
            <v>-</v>
          </cell>
          <cell r="I88" t="str">
            <v>-</v>
          </cell>
          <cell r="J88" t="str">
            <v>-</v>
          </cell>
          <cell r="K88" t="str">
            <v>-</v>
          </cell>
          <cell r="L88" t="str">
            <v>-</v>
          </cell>
          <cell r="M88" t="str">
            <v>-</v>
          </cell>
          <cell r="N88" t="str">
            <v>-</v>
          </cell>
        </row>
        <row r="89">
          <cell r="B89" t="str">
            <v>PARTICULARS</v>
          </cell>
          <cell r="C89" t="str">
            <v>%</v>
          </cell>
          <cell r="D89" t="str">
            <v>1997-98</v>
          </cell>
          <cell r="E89" t="str">
            <v>%</v>
          </cell>
          <cell r="F89" t="str">
            <v>1998-99</v>
          </cell>
          <cell r="G89" t="str">
            <v>%</v>
          </cell>
          <cell r="H89" t="str">
            <v>1999-00</v>
          </cell>
          <cell r="I89" t="str">
            <v>%</v>
          </cell>
          <cell r="J89" t="str">
            <v>2000-01</v>
          </cell>
          <cell r="K89" t="str">
            <v>%</v>
          </cell>
          <cell r="L89" t="str">
            <v>2001-02</v>
          </cell>
          <cell r="M89" t="str">
            <v>%</v>
          </cell>
          <cell r="N89" t="str">
            <v>2002-03</v>
          </cell>
        </row>
        <row r="90">
          <cell r="B90" t="str">
            <v>-</v>
          </cell>
          <cell r="C90" t="str">
            <v>-</v>
          </cell>
          <cell r="D90" t="str">
            <v>-</v>
          </cell>
          <cell r="E90" t="str">
            <v>-</v>
          </cell>
          <cell r="F90" t="str">
            <v>-</v>
          </cell>
          <cell r="G90" t="str">
            <v>-</v>
          </cell>
          <cell r="H90" t="str">
            <v>-</v>
          </cell>
          <cell r="I90" t="str">
            <v>-</v>
          </cell>
          <cell r="J90" t="str">
            <v>-</v>
          </cell>
          <cell r="K90" t="str">
            <v>-</v>
          </cell>
          <cell r="L90" t="str">
            <v>-</v>
          </cell>
          <cell r="M90" t="str">
            <v>-</v>
          </cell>
          <cell r="N90" t="str">
            <v>-</v>
          </cell>
        </row>
        <row r="91">
          <cell r="B91" t="str">
            <v>INCOME</v>
          </cell>
        </row>
        <row r="93">
          <cell r="B93" t="str">
            <v>Sales</v>
          </cell>
          <cell r="D93">
            <v>1485.4159999999999</v>
          </cell>
          <cell r="F93">
            <v>1881.23</v>
          </cell>
          <cell r="H93">
            <v>2279.5500000000002</v>
          </cell>
          <cell r="J93">
            <v>3320.87</v>
          </cell>
          <cell r="L93">
            <v>3040.25</v>
          </cell>
          <cell r="N93">
            <v>2565.75</v>
          </cell>
        </row>
        <row r="95">
          <cell r="B95" t="str">
            <v xml:space="preserve">Other  Income </v>
          </cell>
          <cell r="D95">
            <v>3.6259999999999999</v>
          </cell>
          <cell r="F95">
            <v>9.74</v>
          </cell>
          <cell r="H95">
            <v>5.09</v>
          </cell>
          <cell r="J95">
            <v>12.201000000000001</v>
          </cell>
          <cell r="L95">
            <v>1.774</v>
          </cell>
          <cell r="N95">
            <v>0.71</v>
          </cell>
        </row>
        <row r="97">
          <cell r="B97" t="str">
            <v>Increase/(Decrease)  in Stocks</v>
          </cell>
          <cell r="D97">
            <v>-9.4079999999999995</v>
          </cell>
          <cell r="F97">
            <v>10.08</v>
          </cell>
          <cell r="H97">
            <v>46.665999999999997</v>
          </cell>
          <cell r="J97">
            <v>28.847999999999999</v>
          </cell>
          <cell r="L97">
            <v>-57.044800000000002</v>
          </cell>
          <cell r="N97">
            <v>31.184000000000001</v>
          </cell>
        </row>
        <row r="98">
          <cell r="C98" t="str">
            <v>-</v>
          </cell>
          <cell r="D98" t="str">
            <v>-</v>
          </cell>
          <cell r="E98" t="str">
            <v>-</v>
          </cell>
          <cell r="F98" t="str">
            <v>-</v>
          </cell>
          <cell r="G98" t="str">
            <v>-</v>
          </cell>
          <cell r="H98" t="str">
            <v>-</v>
          </cell>
          <cell r="I98" t="str">
            <v>-</v>
          </cell>
          <cell r="J98" t="str">
            <v>-</v>
          </cell>
          <cell r="K98" t="str">
            <v>-</v>
          </cell>
          <cell r="L98" t="str">
            <v>-</v>
          </cell>
          <cell r="M98" t="str">
            <v>-</v>
          </cell>
          <cell r="N98" t="str">
            <v>-</v>
          </cell>
        </row>
        <row r="99">
          <cell r="B99" t="str">
            <v>TOTAL  INCOME</v>
          </cell>
          <cell r="C99">
            <v>1</v>
          </cell>
          <cell r="D99">
            <v>1479.634</v>
          </cell>
          <cell r="E99">
            <v>1</v>
          </cell>
          <cell r="F99">
            <v>1901.05</v>
          </cell>
          <cell r="G99">
            <v>1</v>
          </cell>
          <cell r="H99">
            <v>2331.3060000000005</v>
          </cell>
          <cell r="I99">
            <v>1</v>
          </cell>
          <cell r="J99">
            <v>3361.9189999999999</v>
          </cell>
          <cell r="K99">
            <v>1</v>
          </cell>
          <cell r="L99">
            <v>2984.9791999999998</v>
          </cell>
          <cell r="M99">
            <v>1</v>
          </cell>
          <cell r="N99">
            <v>2597.6440000000002</v>
          </cell>
        </row>
        <row r="100">
          <cell r="C100" t="str">
            <v>-</v>
          </cell>
          <cell r="D100" t="str">
            <v>-</v>
          </cell>
          <cell r="E100" t="str">
            <v>-</v>
          </cell>
          <cell r="F100" t="str">
            <v>-</v>
          </cell>
          <cell r="G100" t="str">
            <v>-</v>
          </cell>
          <cell r="H100" t="str">
            <v>-</v>
          </cell>
          <cell r="I100" t="str">
            <v>-</v>
          </cell>
          <cell r="J100" t="str">
            <v>-</v>
          </cell>
          <cell r="K100" t="str">
            <v>-</v>
          </cell>
          <cell r="L100" t="str">
            <v>-</v>
          </cell>
          <cell r="M100" t="str">
            <v>-</v>
          </cell>
          <cell r="N100" t="str">
            <v>-</v>
          </cell>
        </row>
        <row r="102">
          <cell r="B102" t="str">
            <v>EXPENDITURE</v>
          </cell>
        </row>
        <row r="104">
          <cell r="B104" t="str">
            <v>Raw  Material  Consumed   Including</v>
          </cell>
          <cell r="C104">
            <v>0.79153831285304344</v>
          </cell>
          <cell r="D104">
            <v>1171.1870000000001</v>
          </cell>
          <cell r="E104">
            <v>0.95888375098166168</v>
          </cell>
          <cell r="F104">
            <v>1418.797</v>
          </cell>
          <cell r="G104">
            <v>1.2344039134002056</v>
          </cell>
          <cell r="H104">
            <v>1826.4659999999999</v>
          </cell>
          <cell r="I104">
            <v>1.7425687703851087</v>
          </cell>
          <cell r="J104">
            <v>2578.364</v>
          </cell>
          <cell r="K104">
            <v>1.514670519871806</v>
          </cell>
          <cell r="L104">
            <v>2241.1579999999999</v>
          </cell>
          <cell r="M104">
            <v>1.3701428866868428</v>
          </cell>
          <cell r="N104">
            <v>2027.31</v>
          </cell>
        </row>
        <row r="105">
          <cell r="B105" t="str">
            <v>Excise  Duty</v>
          </cell>
        </row>
        <row r="106">
          <cell r="C106">
            <v>0</v>
          </cell>
          <cell r="E106">
            <v>0</v>
          </cell>
          <cell r="G106">
            <v>0</v>
          </cell>
          <cell r="I106">
            <v>0</v>
          </cell>
          <cell r="K106">
            <v>0</v>
          </cell>
          <cell r="M106">
            <v>0</v>
          </cell>
        </row>
        <row r="107">
          <cell r="B107" t="str">
            <v>Power &amp; Fuel</v>
          </cell>
          <cell r="C107">
            <v>4.054989274374609E-2</v>
          </cell>
          <cell r="D107">
            <v>59.999000000000002</v>
          </cell>
          <cell r="E107">
            <v>0.10227529240339166</v>
          </cell>
          <cell r="F107">
            <v>151.33000000000001</v>
          </cell>
          <cell r="G107">
            <v>9.7365970233179291E-2</v>
          </cell>
          <cell r="H107">
            <v>144.066</v>
          </cell>
          <cell r="I107">
            <v>0.11339155493858616</v>
          </cell>
          <cell r="J107">
            <v>167.77799999999999</v>
          </cell>
          <cell r="K107">
            <v>0.10498542207059314</v>
          </cell>
          <cell r="L107">
            <v>155.34</v>
          </cell>
          <cell r="M107">
            <v>8.5830009313113922E-2</v>
          </cell>
          <cell r="N107">
            <v>126.997</v>
          </cell>
        </row>
        <row r="109">
          <cell r="B109" t="str">
            <v>Other  Manufacturing   Expenses</v>
          </cell>
          <cell r="C109">
            <v>3.8521688471608515E-2</v>
          </cell>
          <cell r="D109">
            <v>56.997999999999998</v>
          </cell>
          <cell r="E109">
            <v>5.6162537492379865E-2</v>
          </cell>
          <cell r="F109">
            <v>83.1</v>
          </cell>
          <cell r="G109">
            <v>7.3072800435783444E-2</v>
          </cell>
          <cell r="H109">
            <v>108.12100000000001</v>
          </cell>
          <cell r="I109">
            <v>0.11925787052744125</v>
          </cell>
          <cell r="J109">
            <v>176.458</v>
          </cell>
          <cell r="K109">
            <v>0.10323904425013213</v>
          </cell>
          <cell r="L109">
            <v>152.756</v>
          </cell>
          <cell r="M109">
            <v>7.973120379769591E-2</v>
          </cell>
          <cell r="N109">
            <v>117.973</v>
          </cell>
        </row>
        <row r="110">
          <cell r="C110">
            <v>0</v>
          </cell>
          <cell r="E110">
            <v>0</v>
          </cell>
          <cell r="G110">
            <v>0</v>
          </cell>
          <cell r="I110">
            <v>0</v>
          </cell>
          <cell r="K110">
            <v>0</v>
          </cell>
          <cell r="M110">
            <v>0</v>
          </cell>
        </row>
        <row r="111">
          <cell r="B111" t="str">
            <v>Payment  To  Employees</v>
          </cell>
          <cell r="C111">
            <v>1.094595014713098E-2</v>
          </cell>
          <cell r="D111">
            <v>16.196000000000002</v>
          </cell>
          <cell r="E111">
            <v>2.0376660714744321E-2</v>
          </cell>
          <cell r="F111">
            <v>30.15</v>
          </cell>
          <cell r="G111">
            <v>1.8149758656532629E-2</v>
          </cell>
          <cell r="H111">
            <v>26.855</v>
          </cell>
          <cell r="I111">
            <v>2.1387721558169114E-2</v>
          </cell>
          <cell r="J111">
            <v>31.646000000000001</v>
          </cell>
          <cell r="K111">
            <v>2.3781556790395463E-2</v>
          </cell>
          <cell r="L111">
            <v>35.188000000000002</v>
          </cell>
          <cell r="M111">
            <v>2.5146759266142842E-2</v>
          </cell>
          <cell r="N111">
            <v>37.207999999999998</v>
          </cell>
        </row>
        <row r="112">
          <cell r="C112">
            <v>0</v>
          </cell>
          <cell r="E112">
            <v>0</v>
          </cell>
          <cell r="G112">
            <v>0</v>
          </cell>
          <cell r="I112">
            <v>0</v>
          </cell>
          <cell r="K112">
            <v>0</v>
          </cell>
          <cell r="M112">
            <v>0</v>
          </cell>
        </row>
        <row r="113">
          <cell r="B113" t="str">
            <v xml:space="preserve"> Administration   Exp.</v>
          </cell>
          <cell r="C113">
            <v>2.0258388223033535E-2</v>
          </cell>
          <cell r="D113">
            <v>29.975000000000001</v>
          </cell>
          <cell r="E113">
            <v>2.8574633997326366E-2</v>
          </cell>
          <cell r="F113">
            <v>42.28</v>
          </cell>
          <cell r="G113">
            <v>1.0943246775891875E-2</v>
          </cell>
          <cell r="H113">
            <v>16.192</v>
          </cell>
          <cell r="I113">
            <v>1.3677030941435516E-2</v>
          </cell>
          <cell r="J113">
            <v>20.236999999999998</v>
          </cell>
          <cell r="K113">
            <v>2.9901989275726293E-2</v>
          </cell>
          <cell r="L113">
            <v>44.244</v>
          </cell>
          <cell r="M113">
            <v>1.4313674868244445E-2</v>
          </cell>
          <cell r="N113">
            <v>21.179000000000002</v>
          </cell>
        </row>
        <row r="115">
          <cell r="B115" t="str">
            <v>Selling  &amp;  Distribution   Exp.</v>
          </cell>
          <cell r="C115">
            <v>1.3719609038451402E-4</v>
          </cell>
          <cell r="D115">
            <v>0.20300000000000001</v>
          </cell>
          <cell r="E115">
            <v>8.6169958246431208E-4</v>
          </cell>
          <cell r="F115">
            <v>1.2749999999999999</v>
          </cell>
          <cell r="G115">
            <v>9.7726870293599619E-4</v>
          </cell>
          <cell r="H115">
            <v>1.446</v>
          </cell>
          <cell r="I115">
            <v>7.7944951251458141E-3</v>
          </cell>
          <cell r="J115">
            <v>11.533000000000001</v>
          </cell>
          <cell r="K115">
            <v>6.8327708068346626E-3</v>
          </cell>
          <cell r="L115">
            <v>10.11</v>
          </cell>
          <cell r="M115">
            <v>1.3516856195518623E-4</v>
          </cell>
          <cell r="N115">
            <v>0.2</v>
          </cell>
        </row>
        <row r="116">
          <cell r="C116">
            <v>0</v>
          </cell>
          <cell r="E116">
            <v>0</v>
          </cell>
          <cell r="G116">
            <v>0</v>
          </cell>
          <cell r="I116">
            <v>0</v>
          </cell>
          <cell r="K116">
            <v>0</v>
          </cell>
          <cell r="M116">
            <v>0</v>
          </cell>
        </row>
        <row r="117">
          <cell r="B117" t="str">
            <v>Interest &amp; Finance Expenses</v>
          </cell>
          <cell r="C117">
            <v>3.3738073064014482E-2</v>
          </cell>
          <cell r="D117">
            <v>49.92</v>
          </cell>
          <cell r="E117">
            <v>4.8403862036152184E-2</v>
          </cell>
          <cell r="F117">
            <v>71.62</v>
          </cell>
          <cell r="G117">
            <v>6.6931416823349563E-2</v>
          </cell>
          <cell r="H117">
            <v>99.034000000000006</v>
          </cell>
          <cell r="I117">
            <v>7.4020332055089302E-2</v>
          </cell>
          <cell r="J117">
            <v>109.523</v>
          </cell>
          <cell r="K117">
            <v>4.1868462065618929E-2</v>
          </cell>
          <cell r="L117">
            <v>61.95</v>
          </cell>
          <cell r="M117">
            <v>2.5919923440526505E-2</v>
          </cell>
          <cell r="N117">
            <v>38.351999999999997</v>
          </cell>
        </row>
        <row r="118">
          <cell r="C118">
            <v>0</v>
          </cell>
          <cell r="E118">
            <v>0</v>
          </cell>
          <cell r="G118">
            <v>0</v>
          </cell>
          <cell r="I118">
            <v>0</v>
          </cell>
          <cell r="K118">
            <v>0</v>
          </cell>
          <cell r="M118">
            <v>0</v>
          </cell>
        </row>
        <row r="119">
          <cell r="B119" t="str">
            <v>Depreciation</v>
          </cell>
          <cell r="C119">
            <v>1.8428205894160311E-2</v>
          </cell>
          <cell r="D119">
            <v>27.266999999999999</v>
          </cell>
          <cell r="E119">
            <v>2.4833844045216585E-2</v>
          </cell>
          <cell r="F119">
            <v>36.744999999999997</v>
          </cell>
          <cell r="G119">
            <v>3.2323534063153456E-2</v>
          </cell>
          <cell r="H119">
            <v>47.826999999999998</v>
          </cell>
          <cell r="I119">
            <v>6.7954642837350324E-2</v>
          </cell>
          <cell r="J119">
            <v>100.548</v>
          </cell>
          <cell r="K119">
            <v>0.12006753021355282</v>
          </cell>
          <cell r="L119">
            <v>177.65600000000001</v>
          </cell>
          <cell r="M119">
            <v>5.0688210733194829E-2</v>
          </cell>
          <cell r="N119">
            <v>75</v>
          </cell>
        </row>
        <row r="120">
          <cell r="C120">
            <v>0</v>
          </cell>
          <cell r="E120">
            <v>0</v>
          </cell>
          <cell r="G120">
            <v>0</v>
          </cell>
          <cell r="I120">
            <v>0</v>
          </cell>
          <cell r="K120">
            <v>0</v>
          </cell>
          <cell r="M120">
            <v>0</v>
          </cell>
        </row>
        <row r="121">
          <cell r="B121" t="str">
            <v>Preliminary Expenses w/off</v>
          </cell>
          <cell r="C121">
            <v>5.2715739162522627E-4</v>
          </cell>
          <cell r="D121">
            <v>0.78</v>
          </cell>
          <cell r="E121">
            <v>5.2715739162522627E-4</v>
          </cell>
          <cell r="F121">
            <v>0.78</v>
          </cell>
          <cell r="G121">
            <v>5.2715739162522627E-4</v>
          </cell>
          <cell r="H121">
            <v>0.78</v>
          </cell>
          <cell r="I121">
            <v>5.2715739162522627E-4</v>
          </cell>
          <cell r="J121">
            <v>0.78</v>
          </cell>
          <cell r="K121">
            <v>5.2715739162522627E-4</v>
          </cell>
          <cell r="L121">
            <v>0.78</v>
          </cell>
          <cell r="M121">
            <v>0</v>
          </cell>
          <cell r="N121">
            <v>0</v>
          </cell>
        </row>
        <row r="122">
          <cell r="C122">
            <v>0</v>
          </cell>
          <cell r="E122">
            <v>0</v>
          </cell>
          <cell r="G122">
            <v>0</v>
          </cell>
          <cell r="I122">
            <v>0</v>
          </cell>
          <cell r="K122">
            <v>0</v>
          </cell>
          <cell r="M122">
            <v>0</v>
          </cell>
        </row>
        <row r="123">
          <cell r="C123">
            <v>0</v>
          </cell>
          <cell r="D123" t="str">
            <v>-</v>
          </cell>
          <cell r="E123">
            <v>0</v>
          </cell>
          <cell r="F123" t="str">
            <v>-</v>
          </cell>
          <cell r="G123">
            <v>0</v>
          </cell>
          <cell r="H123" t="str">
            <v>-</v>
          </cell>
          <cell r="I123">
            <v>0</v>
          </cell>
          <cell r="J123" t="str">
            <v>-</v>
          </cell>
          <cell r="K123">
            <v>0</v>
          </cell>
          <cell r="L123" t="str">
            <v>-</v>
          </cell>
          <cell r="M123">
            <v>0</v>
          </cell>
          <cell r="N123" t="str">
            <v>-</v>
          </cell>
        </row>
        <row r="124">
          <cell r="B124" t="str">
            <v>TOTAL  EXPENDITURE</v>
          </cell>
          <cell r="C124">
            <v>0.95464486487874711</v>
          </cell>
          <cell r="D124">
            <v>1412.5250000000001</v>
          </cell>
          <cell r="E124">
            <v>1.2408994386449621</v>
          </cell>
          <cell r="F124">
            <v>1836.077</v>
          </cell>
          <cell r="G124">
            <v>1.5346950664826571</v>
          </cell>
          <cell r="H124">
            <v>2270.7869999999998</v>
          </cell>
          <cell r="I124">
            <v>2.160579575759952</v>
          </cell>
          <cell r="J124">
            <v>3196.8670000000006</v>
          </cell>
          <cell r="K124">
            <v>1.945874452736285</v>
          </cell>
          <cell r="L124">
            <v>2879.1820000000002</v>
          </cell>
          <cell r="M124">
            <v>1.6519078366677162</v>
          </cell>
          <cell r="N124">
            <v>2444.2189999999996</v>
          </cell>
        </row>
        <row r="125">
          <cell r="C125">
            <v>0</v>
          </cell>
          <cell r="D125" t="str">
            <v>-</v>
          </cell>
          <cell r="E125">
            <v>0</v>
          </cell>
          <cell r="F125" t="str">
            <v>-</v>
          </cell>
          <cell r="G125">
            <v>0</v>
          </cell>
          <cell r="H125" t="str">
            <v>-</v>
          </cell>
          <cell r="I125">
            <v>0</v>
          </cell>
          <cell r="J125" t="str">
            <v>-</v>
          </cell>
          <cell r="K125">
            <v>0</v>
          </cell>
          <cell r="L125" t="str">
            <v>-</v>
          </cell>
          <cell r="M125">
            <v>0</v>
          </cell>
          <cell r="N125" t="str">
            <v>-</v>
          </cell>
        </row>
        <row r="126">
          <cell r="B126" t="str">
            <v>Profit/ Loss Before Tax</v>
          </cell>
          <cell r="C126">
            <v>4.5344997479106267E-2</v>
          </cell>
          <cell r="D126">
            <v>67.093999999999923</v>
          </cell>
          <cell r="E126">
            <v>4.3911534879571543E-2</v>
          </cell>
          <cell r="F126">
            <v>64.972999999999956</v>
          </cell>
          <cell r="G126">
            <v>4.0901331004830038E-2</v>
          </cell>
          <cell r="H126">
            <v>60.519000000000688</v>
          </cell>
          <cell r="I126">
            <v>0.11154920743913645</v>
          </cell>
          <cell r="J126">
            <v>165.05199999999923</v>
          </cell>
          <cell r="K126">
            <v>7.1502276914425816E-2</v>
          </cell>
          <cell r="L126">
            <v>105.79719999999952</v>
          </cell>
          <cell r="M126">
            <v>0.10369118308987266</v>
          </cell>
          <cell r="N126">
            <v>153.42500000000064</v>
          </cell>
        </row>
        <row r="127">
          <cell r="C127">
            <v>0</v>
          </cell>
          <cell r="E127">
            <v>0</v>
          </cell>
          <cell r="G127">
            <v>0</v>
          </cell>
          <cell r="I127">
            <v>0</v>
          </cell>
          <cell r="K127">
            <v>0</v>
          </cell>
          <cell r="M127">
            <v>0</v>
          </cell>
        </row>
        <row r="128">
          <cell r="B128" t="str">
            <v>Less: Provision For  Taxation</v>
          </cell>
          <cell r="C128">
            <v>0</v>
          </cell>
          <cell r="D128">
            <v>0</v>
          </cell>
          <cell r="E128">
            <v>0</v>
          </cell>
          <cell r="F128">
            <v>0</v>
          </cell>
          <cell r="G128">
            <v>3.3994893331729331E-4</v>
          </cell>
          <cell r="H128">
            <v>0.503</v>
          </cell>
          <cell r="I128">
            <v>3.04129264399169E-4</v>
          </cell>
          <cell r="J128">
            <v>0.45</v>
          </cell>
          <cell r="K128">
            <v>5.4067424782074484E-3</v>
          </cell>
          <cell r="L128">
            <v>8</v>
          </cell>
          <cell r="M128">
            <v>0</v>
          </cell>
          <cell r="N128">
            <v>0</v>
          </cell>
        </row>
        <row r="129">
          <cell r="C129">
            <v>0</v>
          </cell>
          <cell r="E129">
            <v>0</v>
          </cell>
          <cell r="G129">
            <v>0</v>
          </cell>
          <cell r="I129">
            <v>0</v>
          </cell>
          <cell r="K129">
            <v>0</v>
          </cell>
          <cell r="M129">
            <v>0</v>
          </cell>
        </row>
        <row r="130">
          <cell r="B130" t="str">
            <v xml:space="preserve"> Add: ( Depreciation written  back) / written off </v>
          </cell>
          <cell r="C130">
            <v>0</v>
          </cell>
          <cell r="D130">
            <v>0</v>
          </cell>
          <cell r="E130">
            <v>0</v>
          </cell>
          <cell r="F130">
            <v>0</v>
          </cell>
          <cell r="G130">
            <v>0</v>
          </cell>
          <cell r="H130">
            <v>0</v>
          </cell>
          <cell r="I130">
            <v>-0.10802671471458482</v>
          </cell>
          <cell r="J130">
            <v>-159.84</v>
          </cell>
          <cell r="K130">
            <v>0</v>
          </cell>
          <cell r="L130">
            <v>0</v>
          </cell>
          <cell r="M130">
            <v>-8.1101137173111727E-3</v>
          </cell>
          <cell r="N130">
            <v>-12</v>
          </cell>
        </row>
        <row r="131">
          <cell r="C131">
            <v>0</v>
          </cell>
          <cell r="D131" t="str">
            <v>-</v>
          </cell>
          <cell r="E131">
            <v>0</v>
          </cell>
          <cell r="F131" t="str">
            <v>-</v>
          </cell>
          <cell r="G131">
            <v>0</v>
          </cell>
          <cell r="H131" t="str">
            <v>-</v>
          </cell>
          <cell r="I131">
            <v>0</v>
          </cell>
          <cell r="J131" t="str">
            <v>-</v>
          </cell>
          <cell r="K131">
            <v>0</v>
          </cell>
          <cell r="L131" t="str">
            <v>-</v>
          </cell>
          <cell r="M131">
            <v>0</v>
          </cell>
          <cell r="N131" t="str">
            <v>-</v>
          </cell>
        </row>
        <row r="132">
          <cell r="B132" t="str">
            <v>Profit/Loss After  Taxation</v>
          </cell>
          <cell r="C132">
            <v>4.5344997479106267E-2</v>
          </cell>
          <cell r="D132">
            <v>67.093999999999923</v>
          </cell>
          <cell r="E132">
            <v>4.3911534879571543E-2</v>
          </cell>
          <cell r="F132">
            <v>64.972999999999956</v>
          </cell>
          <cell r="G132">
            <v>4.056138207151274E-2</v>
          </cell>
          <cell r="H132">
            <v>60.016000000000687</v>
          </cell>
          <cell r="I132">
            <v>3.2183634601524653E-3</v>
          </cell>
          <cell r="J132">
            <v>4.7619999999992331</v>
          </cell>
          <cell r="K132">
            <v>6.6095534436218364E-2</v>
          </cell>
          <cell r="L132">
            <v>97.797199999999521</v>
          </cell>
          <cell r="M132">
            <v>9.5581069372561486E-2</v>
          </cell>
          <cell r="N132">
            <v>141.42500000000064</v>
          </cell>
        </row>
        <row r="134">
          <cell r="B134" t="str">
            <v xml:space="preserve">Balance  b/f from Previous Year </v>
          </cell>
          <cell r="D134">
            <v>94.43</v>
          </cell>
          <cell r="F134">
            <v>62.023999999999944</v>
          </cell>
          <cell r="H134">
            <v>98.301999999999907</v>
          </cell>
          <cell r="J134">
            <v>133.31800000000061</v>
          </cell>
          <cell r="L134">
            <v>117.35999999999984</v>
          </cell>
          <cell r="N134">
            <v>196.61719999999937</v>
          </cell>
        </row>
        <row r="135">
          <cell r="C135">
            <v>0</v>
          </cell>
          <cell r="D135" t="str">
            <v>-</v>
          </cell>
          <cell r="E135">
            <v>0</v>
          </cell>
          <cell r="F135" t="str">
            <v>-</v>
          </cell>
          <cell r="G135">
            <v>0</v>
          </cell>
          <cell r="H135" t="str">
            <v>-</v>
          </cell>
          <cell r="I135">
            <v>0</v>
          </cell>
          <cell r="J135" t="str">
            <v>-</v>
          </cell>
          <cell r="K135">
            <v>0</v>
          </cell>
          <cell r="L135" t="str">
            <v>-</v>
          </cell>
          <cell r="M135">
            <v>0</v>
          </cell>
          <cell r="N135" t="str">
            <v>-</v>
          </cell>
        </row>
        <row r="136">
          <cell r="B136" t="str">
            <v>BALANCE AVAILABLE FOR APPROPRIATION</v>
          </cell>
          <cell r="D136">
            <v>161.52399999999994</v>
          </cell>
          <cell r="F136">
            <v>126.9969999999999</v>
          </cell>
          <cell r="H136">
            <v>158.31800000000061</v>
          </cell>
          <cell r="J136">
            <v>138.07999999999984</v>
          </cell>
          <cell r="L136">
            <v>215.15719999999936</v>
          </cell>
          <cell r="N136">
            <v>338.04219999999998</v>
          </cell>
        </row>
        <row r="137">
          <cell r="C137">
            <v>0</v>
          </cell>
          <cell r="D137" t="str">
            <v>=</v>
          </cell>
          <cell r="E137">
            <v>0</v>
          </cell>
          <cell r="F137" t="str">
            <v>=</v>
          </cell>
          <cell r="G137">
            <v>0</v>
          </cell>
          <cell r="H137" t="str">
            <v>=</v>
          </cell>
          <cell r="I137">
            <v>0</v>
          </cell>
          <cell r="J137" t="str">
            <v>=</v>
          </cell>
          <cell r="K137">
            <v>0</v>
          </cell>
          <cell r="L137" t="str">
            <v>=</v>
          </cell>
          <cell r="M137">
            <v>0</v>
          </cell>
          <cell r="N137" t="str">
            <v>=</v>
          </cell>
        </row>
        <row r="138">
          <cell r="B138" t="str">
            <v>APPROPRIATIONS</v>
          </cell>
        </row>
        <row r="140">
          <cell r="B140" t="str">
            <v>Total  Dividend</v>
          </cell>
          <cell r="C140">
            <v>9.6473544058132368E-2</v>
          </cell>
          <cell r="D140">
            <v>25.65</v>
          </cell>
          <cell r="E140">
            <v>9.4002074425615423E-2</v>
          </cell>
          <cell r="F140">
            <v>25.195</v>
          </cell>
          <cell r="G140">
            <v>0</v>
          </cell>
          <cell r="H140">
            <v>0</v>
          </cell>
          <cell r="I140">
            <v>0</v>
          </cell>
          <cell r="J140">
            <v>0</v>
          </cell>
          <cell r="K140" t="e">
            <v>#DIV/0!</v>
          </cell>
          <cell r="L140">
            <v>0</v>
          </cell>
          <cell r="M140" t="e">
            <v>#DIV/0!</v>
          </cell>
          <cell r="N140">
            <v>0</v>
          </cell>
        </row>
        <row r="141">
          <cell r="B141" t="str">
            <v>Interim  Dividend</v>
          </cell>
          <cell r="D141">
            <v>15.27</v>
          </cell>
          <cell r="F141">
            <v>22.905000000000001</v>
          </cell>
          <cell r="H141">
            <v>0</v>
          </cell>
          <cell r="J141">
            <v>0</v>
          </cell>
          <cell r="L141">
            <v>0</v>
          </cell>
          <cell r="N141">
            <v>0</v>
          </cell>
        </row>
        <row r="143">
          <cell r="B143" t="str">
            <v xml:space="preserve">Proposed Dividend </v>
          </cell>
          <cell r="C143">
            <v>0</v>
          </cell>
          <cell r="D143">
            <v>8.0500000000000007</v>
          </cell>
          <cell r="F143">
            <v>0</v>
          </cell>
          <cell r="H143">
            <v>0</v>
          </cell>
          <cell r="J143">
            <v>0</v>
          </cell>
          <cell r="L143">
            <v>0</v>
          </cell>
          <cell r="N143">
            <v>0</v>
          </cell>
        </row>
        <row r="145">
          <cell r="B145" t="str">
            <v xml:space="preserve"> Tax  on Dividends</v>
          </cell>
          <cell r="D145">
            <v>2.33</v>
          </cell>
          <cell r="F145">
            <v>2.29</v>
          </cell>
          <cell r="H145">
            <v>0</v>
          </cell>
          <cell r="J145">
            <v>0</v>
          </cell>
          <cell r="L145">
            <v>0</v>
          </cell>
          <cell r="N145">
            <v>0</v>
          </cell>
        </row>
        <row r="147">
          <cell r="B147" t="str">
            <v>Transfer to  Reserves</v>
          </cell>
          <cell r="D147">
            <v>73.849999999999994</v>
          </cell>
          <cell r="F147">
            <v>3.5</v>
          </cell>
          <cell r="H147">
            <v>25</v>
          </cell>
          <cell r="J147">
            <v>20.72</v>
          </cell>
          <cell r="L147">
            <v>18.54</v>
          </cell>
          <cell r="N147">
            <v>0</v>
          </cell>
        </row>
        <row r="149">
          <cell r="B149" t="str">
            <v>Balance Carried  to Balance Sheet</v>
          </cell>
          <cell r="D149">
            <v>62.023999999999944</v>
          </cell>
          <cell r="F149">
            <v>98.301999999999907</v>
          </cell>
          <cell r="H149">
            <v>133.31800000000061</v>
          </cell>
          <cell r="J149">
            <v>117.35999999999984</v>
          </cell>
          <cell r="L149">
            <v>196.61719999999937</v>
          </cell>
          <cell r="N149">
            <v>338.04219999999998</v>
          </cell>
        </row>
        <row r="150">
          <cell r="C150">
            <v>0</v>
          </cell>
          <cell r="D150" t="str">
            <v>-</v>
          </cell>
          <cell r="E150">
            <v>0</v>
          </cell>
          <cell r="F150" t="str">
            <v>-</v>
          </cell>
          <cell r="G150">
            <v>0</v>
          </cell>
          <cell r="H150" t="str">
            <v>-</v>
          </cell>
          <cell r="I150">
            <v>0</v>
          </cell>
          <cell r="J150" t="str">
            <v>-</v>
          </cell>
          <cell r="K150">
            <v>0</v>
          </cell>
          <cell r="L150" t="str">
            <v>-</v>
          </cell>
          <cell r="M150">
            <v>0</v>
          </cell>
          <cell r="N150" t="str">
            <v>-</v>
          </cell>
        </row>
        <row r="151">
          <cell r="D151">
            <v>161.52399999999994</v>
          </cell>
          <cell r="F151">
            <v>126.9969999999999</v>
          </cell>
          <cell r="H151">
            <v>158.31800000000061</v>
          </cell>
          <cell r="J151">
            <v>138.07999999999984</v>
          </cell>
          <cell r="L151">
            <v>215.15719999999936</v>
          </cell>
          <cell r="N151">
            <v>338.04219999999998</v>
          </cell>
        </row>
        <row r="152">
          <cell r="C152">
            <v>0</v>
          </cell>
          <cell r="D152" t="str">
            <v>=</v>
          </cell>
          <cell r="E152">
            <v>0</v>
          </cell>
          <cell r="F152" t="str">
            <v>=</v>
          </cell>
          <cell r="G152">
            <v>0</v>
          </cell>
          <cell r="H152" t="str">
            <v>=</v>
          </cell>
          <cell r="I152">
            <v>0</v>
          </cell>
          <cell r="J152" t="str">
            <v>=</v>
          </cell>
          <cell r="K152">
            <v>0</v>
          </cell>
          <cell r="L152" t="str">
            <v>=</v>
          </cell>
          <cell r="M152">
            <v>0</v>
          </cell>
          <cell r="N152" t="str">
            <v>=</v>
          </cell>
        </row>
        <row r="174">
          <cell r="B174" t="str">
            <v>DETAILS  FOR  CALCULATING RATIOS</v>
          </cell>
        </row>
        <row r="175">
          <cell r="G175" t="str">
            <v>(RS.IN LACS)</v>
          </cell>
        </row>
        <row r="176">
          <cell r="B176" t="str">
            <v>-</v>
          </cell>
          <cell r="C176" t="str">
            <v>-</v>
          </cell>
          <cell r="D176" t="str">
            <v>-</v>
          </cell>
          <cell r="E176" t="str">
            <v>-</v>
          </cell>
          <cell r="F176" t="str">
            <v>-</v>
          </cell>
          <cell r="G176" t="str">
            <v>-</v>
          </cell>
          <cell r="H176" t="str">
            <v>-</v>
          </cell>
        </row>
        <row r="177">
          <cell r="B177" t="str">
            <v>PARTICULARS</v>
          </cell>
          <cell r="C177" t="str">
            <v>1997-98</v>
          </cell>
          <cell r="D177" t="str">
            <v>1998-99</v>
          </cell>
          <cell r="E177" t="str">
            <v>1999-00</v>
          </cell>
          <cell r="F177" t="str">
            <v>2000-01</v>
          </cell>
          <cell r="G177" t="str">
            <v>2001-02</v>
          </cell>
          <cell r="H177" t="str">
            <v>2002-03</v>
          </cell>
        </row>
        <row r="178">
          <cell r="B178" t="str">
            <v>-</v>
          </cell>
          <cell r="C178" t="str">
            <v>-</v>
          </cell>
          <cell r="D178" t="str">
            <v>-</v>
          </cell>
          <cell r="E178" t="str">
            <v>-</v>
          </cell>
          <cell r="F178" t="str">
            <v>-</v>
          </cell>
          <cell r="G178" t="str">
            <v>-</v>
          </cell>
          <cell r="H178" t="str">
            <v>-</v>
          </cell>
        </row>
        <row r="179">
          <cell r="B179" t="str">
            <v>Total  Share  Capital</v>
          </cell>
          <cell r="C179">
            <v>265.87599999999998</v>
          </cell>
          <cell r="D179">
            <v>268.02600000000001</v>
          </cell>
          <cell r="E179">
            <v>248.03</v>
          </cell>
          <cell r="F179">
            <v>235.80600000000001</v>
          </cell>
          <cell r="G179">
            <v>220.01</v>
          </cell>
          <cell r="H179">
            <v>229.01</v>
          </cell>
        </row>
        <row r="181">
          <cell r="B181" t="str">
            <v>Total  Dividend</v>
          </cell>
          <cell r="C181">
            <v>25.65</v>
          </cell>
          <cell r="D181">
            <v>25.195</v>
          </cell>
          <cell r="E181">
            <v>0</v>
          </cell>
          <cell r="F181">
            <v>0</v>
          </cell>
          <cell r="G181">
            <v>0</v>
          </cell>
          <cell r="H181">
            <v>0</v>
          </cell>
        </row>
        <row r="183">
          <cell r="B183" t="str">
            <v>Loan  Funds</v>
          </cell>
          <cell r="C183">
            <v>455.697</v>
          </cell>
          <cell r="D183">
            <v>644.00800000000004</v>
          </cell>
          <cell r="E183">
            <v>841.41</v>
          </cell>
          <cell r="F183">
            <v>669.26499999999999</v>
          </cell>
          <cell r="G183">
            <v>400.09700000000004</v>
          </cell>
          <cell r="H183">
            <v>449.85400000000004</v>
          </cell>
        </row>
        <row r="185">
          <cell r="B185" t="str">
            <v>Term  Loans</v>
          </cell>
          <cell r="C185">
            <v>233.88</v>
          </cell>
          <cell r="D185">
            <v>292.82</v>
          </cell>
          <cell r="E185">
            <v>504.47999999999996</v>
          </cell>
          <cell r="F185">
            <v>544.1</v>
          </cell>
          <cell r="G185">
            <v>322.64</v>
          </cell>
          <cell r="H185">
            <v>263.04000000000002</v>
          </cell>
        </row>
        <row r="187">
          <cell r="B187" t="str">
            <v>Unsecured  Loan</v>
          </cell>
          <cell r="C187">
            <v>71.117000000000004</v>
          </cell>
          <cell r="D187">
            <v>194.89</v>
          </cell>
          <cell r="E187">
            <v>86.25</v>
          </cell>
          <cell r="F187">
            <v>13.775</v>
          </cell>
          <cell r="G187">
            <v>17.29</v>
          </cell>
          <cell r="H187">
            <v>84.9</v>
          </cell>
        </row>
        <row r="189">
          <cell r="B189" t="str">
            <v>Working  Capital  Loan</v>
          </cell>
          <cell r="C189">
            <v>150.69999999999999</v>
          </cell>
          <cell r="D189">
            <v>156.30000000000001</v>
          </cell>
          <cell r="E189">
            <v>250.68</v>
          </cell>
          <cell r="F189">
            <v>111.39</v>
          </cell>
          <cell r="G189">
            <v>60.167000000000002</v>
          </cell>
          <cell r="H189">
            <v>101.91</v>
          </cell>
        </row>
        <row r="191">
          <cell r="B191" t="str">
            <v>Debt</v>
          </cell>
          <cell r="C191">
            <v>233.88</v>
          </cell>
          <cell r="D191">
            <v>292.81800000000004</v>
          </cell>
          <cell r="E191">
            <v>504.47999999999996</v>
          </cell>
          <cell r="F191">
            <v>544.1</v>
          </cell>
          <cell r="G191">
            <v>322.64</v>
          </cell>
          <cell r="H191">
            <v>263.0440000000001</v>
          </cell>
        </row>
        <row r="193">
          <cell r="B193" t="str">
            <v>Current  Assets:</v>
          </cell>
        </row>
        <row r="195">
          <cell r="B195" t="str">
            <v>a. Inventories</v>
          </cell>
          <cell r="C195">
            <v>59.53</v>
          </cell>
          <cell r="D195">
            <v>75.837000000000003</v>
          </cell>
          <cell r="E195">
            <v>114.19</v>
          </cell>
          <cell r="F195">
            <v>169.51</v>
          </cell>
          <cell r="G195">
            <v>144.63300000000001</v>
          </cell>
          <cell r="H195">
            <v>117.34699999999999</v>
          </cell>
        </row>
        <row r="197">
          <cell r="B197" t="str">
            <v>b. Sundry  Debtors</v>
          </cell>
          <cell r="C197">
            <v>52.31</v>
          </cell>
          <cell r="D197">
            <v>38.17</v>
          </cell>
          <cell r="E197">
            <v>84.45</v>
          </cell>
          <cell r="F197">
            <v>97.71</v>
          </cell>
          <cell r="G197">
            <v>126.718</v>
          </cell>
          <cell r="H197">
            <v>50.72</v>
          </cell>
        </row>
        <row r="199">
          <cell r="B199" t="str">
            <v>c.  Cash &amp; Bank Balances</v>
          </cell>
          <cell r="C199">
            <v>0.48</v>
          </cell>
          <cell r="D199">
            <v>0.54800000000000004</v>
          </cell>
          <cell r="E199">
            <v>5.32</v>
          </cell>
          <cell r="F199">
            <v>27.18</v>
          </cell>
          <cell r="G199">
            <v>1.7090000000000001</v>
          </cell>
          <cell r="H199">
            <v>1.8939999999999999</v>
          </cell>
        </row>
        <row r="201">
          <cell r="B201" t="str">
            <v>d.  Loans &amp;  Advances</v>
          </cell>
          <cell r="C201">
            <v>85.944000000000003</v>
          </cell>
          <cell r="D201">
            <v>200.56800000000001</v>
          </cell>
          <cell r="E201">
            <v>228.04</v>
          </cell>
          <cell r="F201">
            <v>12.129999999999999</v>
          </cell>
          <cell r="G201">
            <v>33.356999999999999</v>
          </cell>
          <cell r="H201">
            <v>61.322999999999993</v>
          </cell>
        </row>
        <row r="203">
          <cell r="B203" t="str">
            <v>e.  Deposits</v>
          </cell>
          <cell r="C203">
            <v>26.745999999999999</v>
          </cell>
          <cell r="D203">
            <v>2.82</v>
          </cell>
          <cell r="E203">
            <v>6.84</v>
          </cell>
          <cell r="F203">
            <v>6.84</v>
          </cell>
          <cell r="G203">
            <v>6.88</v>
          </cell>
          <cell r="H203">
            <v>8.1999999999999993</v>
          </cell>
        </row>
        <row r="205">
          <cell r="B205" t="str">
            <v>f. Trade  Investments</v>
          </cell>
          <cell r="C205">
            <v>29.998999999999999</v>
          </cell>
          <cell r="D205">
            <v>58.198999999999998</v>
          </cell>
          <cell r="E205">
            <v>58.198999999999998</v>
          </cell>
          <cell r="F205">
            <v>58.198999999999998</v>
          </cell>
          <cell r="G205">
            <v>58.198999999999998</v>
          </cell>
          <cell r="H205">
            <v>178.19900000000001</v>
          </cell>
        </row>
        <row r="206">
          <cell r="C206" t="str">
            <v>-</v>
          </cell>
          <cell r="D206" t="str">
            <v>-</v>
          </cell>
          <cell r="E206" t="str">
            <v>-</v>
          </cell>
          <cell r="F206" t="str">
            <v>-</v>
          </cell>
          <cell r="G206" t="str">
            <v>-</v>
          </cell>
          <cell r="H206" t="str">
            <v>-</v>
          </cell>
        </row>
        <row r="207">
          <cell r="B207" t="str">
            <v xml:space="preserve">         Total Current  Assets</v>
          </cell>
          <cell r="C207">
            <v>255.00900000000001</v>
          </cell>
          <cell r="D207">
            <v>376.14200000000005</v>
          </cell>
          <cell r="E207">
            <v>497.03899999999999</v>
          </cell>
          <cell r="F207">
            <v>371.56899999999996</v>
          </cell>
          <cell r="G207">
            <v>371.49600000000004</v>
          </cell>
          <cell r="H207">
            <v>417.68299999999999</v>
          </cell>
        </row>
        <row r="209">
          <cell r="B209" t="str">
            <v>Current Liabilities</v>
          </cell>
          <cell r="C209">
            <v>35.774999999999999</v>
          </cell>
          <cell r="D209">
            <v>99.53</v>
          </cell>
          <cell r="E209">
            <v>93.27</v>
          </cell>
          <cell r="F209">
            <v>72.38</v>
          </cell>
          <cell r="G209">
            <v>77.563999999999993</v>
          </cell>
          <cell r="H209">
            <v>56.210999999999999</v>
          </cell>
        </row>
        <row r="210">
          <cell r="C210" t="str">
            <v>-</v>
          </cell>
          <cell r="D210" t="str">
            <v>-</v>
          </cell>
          <cell r="E210" t="str">
            <v>-</v>
          </cell>
          <cell r="F210" t="str">
            <v>-</v>
          </cell>
          <cell r="G210" t="str">
            <v>-</v>
          </cell>
          <cell r="H210" t="str">
            <v>-</v>
          </cell>
        </row>
        <row r="211">
          <cell r="B211" t="str">
            <v xml:space="preserve">         Total  Current Liabilities</v>
          </cell>
          <cell r="C211">
            <v>178.42499999999998</v>
          </cell>
          <cell r="D211">
            <v>255.83</v>
          </cell>
          <cell r="E211">
            <v>343.95</v>
          </cell>
          <cell r="F211">
            <v>183.76999999999998</v>
          </cell>
          <cell r="G211">
            <v>137.73099999999999</v>
          </cell>
          <cell r="H211">
            <v>158.12099999999998</v>
          </cell>
        </row>
        <row r="212">
          <cell r="C212" t="str">
            <v>-</v>
          </cell>
          <cell r="D212" t="str">
            <v>-</v>
          </cell>
          <cell r="E212" t="str">
            <v>-</v>
          </cell>
          <cell r="F212" t="str">
            <v>-</v>
          </cell>
          <cell r="G212" t="str">
            <v>-</v>
          </cell>
          <cell r="H212" t="str">
            <v>-</v>
          </cell>
        </row>
        <row r="213">
          <cell r="B213" t="str">
            <v xml:space="preserve">Working  Capital  </v>
          </cell>
          <cell r="C213">
            <v>76.584000000000032</v>
          </cell>
          <cell r="D213">
            <v>120.31200000000004</v>
          </cell>
          <cell r="E213">
            <v>153.089</v>
          </cell>
          <cell r="F213">
            <v>187.79899999999998</v>
          </cell>
          <cell r="G213">
            <v>233.76500000000004</v>
          </cell>
          <cell r="H213">
            <v>259.56200000000001</v>
          </cell>
        </row>
        <row r="215">
          <cell r="B215" t="str">
            <v>L.T. Funds</v>
          </cell>
          <cell r="C215">
            <v>668.81899999999996</v>
          </cell>
          <cell r="D215">
            <v>978.98900000000003</v>
          </cell>
          <cell r="E215">
            <v>1086.5139999999999</v>
          </cell>
          <cell r="F215">
            <v>980.47500000000002</v>
          </cell>
          <cell r="G215">
            <v>781.90500000000009</v>
          </cell>
          <cell r="H215">
            <v>1021.3380000000001</v>
          </cell>
        </row>
        <row r="217">
          <cell r="B217" t="str">
            <v>Turnover</v>
          </cell>
          <cell r="C217">
            <v>1485.4159999999999</v>
          </cell>
          <cell r="D217">
            <v>1881.23</v>
          </cell>
          <cell r="E217">
            <v>2279.5500000000002</v>
          </cell>
          <cell r="F217">
            <v>3320.87</v>
          </cell>
          <cell r="G217">
            <v>3040.25</v>
          </cell>
          <cell r="H217">
            <v>2565.75</v>
          </cell>
        </row>
        <row r="219">
          <cell r="B219" t="str">
            <v>Gross  Profit</v>
          </cell>
          <cell r="C219">
            <v>231.62699999999992</v>
          </cell>
          <cell r="D219">
            <v>359.26299999999992</v>
          </cell>
          <cell r="E219">
            <v>364.77400000000046</v>
          </cell>
          <cell r="F219">
            <v>563.24999999999989</v>
          </cell>
          <cell r="G219">
            <v>554.10320000000002</v>
          </cell>
          <cell r="H219">
            <v>414.44300000000021</v>
          </cell>
        </row>
        <row r="221">
          <cell r="B221" t="str">
            <v>Net Profit for the Year</v>
          </cell>
          <cell r="C221">
            <v>67.093999999999923</v>
          </cell>
          <cell r="D221">
            <v>64.972999999999956</v>
          </cell>
          <cell r="E221">
            <v>60.519000000000688</v>
          </cell>
          <cell r="F221">
            <v>165.05199999999923</v>
          </cell>
          <cell r="G221">
            <v>105.79719999999952</v>
          </cell>
          <cell r="H221">
            <v>153.42500000000064</v>
          </cell>
        </row>
        <row r="223">
          <cell r="B223" t="str">
            <v>Interest  &amp;  Finance  Charges</v>
          </cell>
          <cell r="C223">
            <v>49.92</v>
          </cell>
          <cell r="D223">
            <v>71.62</v>
          </cell>
          <cell r="E223">
            <v>99.034000000000006</v>
          </cell>
          <cell r="F223">
            <v>109.523</v>
          </cell>
          <cell r="G223">
            <v>61.95</v>
          </cell>
          <cell r="H223">
            <v>38.351999999999997</v>
          </cell>
        </row>
        <row r="225">
          <cell r="B225" t="str">
            <v>PBIT</v>
          </cell>
          <cell r="C225">
            <v>117.01399999999992</v>
          </cell>
          <cell r="D225">
            <v>136.59299999999996</v>
          </cell>
          <cell r="E225">
            <v>159.55300000000068</v>
          </cell>
          <cell r="F225">
            <v>274.57499999999925</v>
          </cell>
          <cell r="G225">
            <v>167.74719999999951</v>
          </cell>
          <cell r="H225">
            <v>191.77700000000064</v>
          </cell>
        </row>
        <row r="227">
          <cell r="B227" t="str">
            <v>=</v>
          </cell>
          <cell r="C227" t="str">
            <v>=</v>
          </cell>
          <cell r="D227" t="str">
            <v>=</v>
          </cell>
          <cell r="E227" t="str">
            <v>=</v>
          </cell>
          <cell r="F227" t="str">
            <v>=</v>
          </cell>
          <cell r="G227" t="str">
            <v>=</v>
          </cell>
          <cell r="H227" t="str">
            <v>=</v>
          </cell>
        </row>
        <row r="229">
          <cell r="B229" t="str">
            <v>CALCULATION  OF  VARIOUS  RATIOS</v>
          </cell>
        </row>
        <row r="231">
          <cell r="B231" t="str">
            <v>-</v>
          </cell>
          <cell r="C231" t="str">
            <v>-</v>
          </cell>
          <cell r="D231" t="str">
            <v>-</v>
          </cell>
          <cell r="E231" t="str">
            <v>-</v>
          </cell>
          <cell r="F231" t="str">
            <v>-</v>
          </cell>
          <cell r="G231" t="str">
            <v>-</v>
          </cell>
          <cell r="H231" t="str">
            <v>-</v>
          </cell>
        </row>
        <row r="232">
          <cell r="B232" t="str">
            <v>PARTICULARS</v>
          </cell>
          <cell r="C232" t="str">
            <v>1997-98</v>
          </cell>
          <cell r="D232" t="str">
            <v>1998-99</v>
          </cell>
          <cell r="E232" t="str">
            <v>1999-00</v>
          </cell>
          <cell r="F232" t="str">
            <v>2000-01</v>
          </cell>
          <cell r="G232" t="str">
            <v>2001-02</v>
          </cell>
          <cell r="H232" t="str">
            <v>2002-03</v>
          </cell>
        </row>
        <row r="233">
          <cell r="B233" t="str">
            <v>-</v>
          </cell>
          <cell r="C233" t="str">
            <v>-</v>
          </cell>
          <cell r="D233" t="str">
            <v>-</v>
          </cell>
          <cell r="E233" t="str">
            <v>-</v>
          </cell>
          <cell r="F233" t="str">
            <v>-</v>
          </cell>
          <cell r="G233" t="str">
            <v>-</v>
          </cell>
          <cell r="H233" t="str">
            <v>-</v>
          </cell>
        </row>
        <row r="234">
          <cell r="B234" t="str">
            <v>NET PROFIT AFTER TAX</v>
          </cell>
          <cell r="C234">
            <v>67.093999999999923</v>
          </cell>
          <cell r="D234">
            <v>64.972999999999956</v>
          </cell>
          <cell r="E234">
            <v>60.016000000000687</v>
          </cell>
          <cell r="F234">
            <v>4.7619999999992331</v>
          </cell>
          <cell r="G234">
            <v>97.797199999999521</v>
          </cell>
          <cell r="H234">
            <v>141.42500000000064</v>
          </cell>
        </row>
        <row r="236">
          <cell r="B236" t="str">
            <v>CASH PROFIT</v>
          </cell>
          <cell r="C236">
            <v>95.14099999999992</v>
          </cell>
          <cell r="D236">
            <v>102.49799999999996</v>
          </cell>
          <cell r="E236">
            <v>108.62300000000069</v>
          </cell>
          <cell r="F236">
            <v>106.08999999999924</v>
          </cell>
          <cell r="G236">
            <v>276.2331999999995</v>
          </cell>
          <cell r="H236">
            <v>216.42500000000064</v>
          </cell>
        </row>
        <row r="238">
          <cell r="B238" t="str">
            <v>EQUITY SHARE CAPITAL</v>
          </cell>
          <cell r="C238">
            <v>229.04599999999999</v>
          </cell>
          <cell r="D238">
            <v>229.04600000000002</v>
          </cell>
          <cell r="E238">
            <v>229.05</v>
          </cell>
          <cell r="F238">
            <v>216.82600000000002</v>
          </cell>
          <cell r="G238">
            <v>213.25399999999999</v>
          </cell>
          <cell r="H238">
            <v>213.25399999999999</v>
          </cell>
        </row>
        <row r="240">
          <cell r="B240" t="str">
            <v>PREFERENCE SHARE CAPITAL</v>
          </cell>
          <cell r="C240">
            <v>36.83</v>
          </cell>
          <cell r="D240">
            <v>38.979999999999997</v>
          </cell>
          <cell r="E240">
            <v>18.98</v>
          </cell>
          <cell r="F240">
            <v>18.98</v>
          </cell>
          <cell r="G240">
            <v>6.7560000000000002</v>
          </cell>
          <cell r="H240">
            <v>15.756</v>
          </cell>
        </row>
        <row r="242">
          <cell r="B242" t="str">
            <v>RESERVES &amp; SURPLUS</v>
          </cell>
          <cell r="C242">
            <v>101.946</v>
          </cell>
          <cell r="D242">
            <v>226.69499999999999</v>
          </cell>
          <cell r="E242">
            <v>250.63</v>
          </cell>
          <cell r="F242">
            <v>189.11</v>
          </cell>
          <cell r="G242">
            <v>223.72</v>
          </cell>
          <cell r="H242">
            <v>446.13900000000001</v>
          </cell>
        </row>
        <row r="244">
          <cell r="B244" t="str">
            <v>UNSECURED  LOAN</v>
          </cell>
          <cell r="C244">
            <v>71.117000000000004</v>
          </cell>
          <cell r="D244">
            <v>194.89</v>
          </cell>
          <cell r="E244">
            <v>86.25</v>
          </cell>
          <cell r="F244">
            <v>13.775</v>
          </cell>
          <cell r="G244">
            <v>17.29</v>
          </cell>
          <cell r="H244">
            <v>84.9</v>
          </cell>
        </row>
        <row r="246">
          <cell r="B246" t="str">
            <v>TERM LOANS</v>
          </cell>
          <cell r="C246">
            <v>233.88</v>
          </cell>
          <cell r="D246">
            <v>292.82</v>
          </cell>
          <cell r="E246">
            <v>504.47999999999996</v>
          </cell>
          <cell r="F246">
            <v>544.1</v>
          </cell>
          <cell r="G246">
            <v>322.64</v>
          </cell>
          <cell r="H246">
            <v>263.04000000000002</v>
          </cell>
        </row>
        <row r="248">
          <cell r="B248" t="str">
            <v>EQUITY SHARES OF Rs.10 EACH</v>
          </cell>
          <cell r="C248">
            <v>2290460</v>
          </cell>
          <cell r="D248">
            <v>2290460.0000000005</v>
          </cell>
          <cell r="E248">
            <v>2290500</v>
          </cell>
          <cell r="F248">
            <v>2168260.0000000005</v>
          </cell>
          <cell r="G248">
            <v>2132540</v>
          </cell>
          <cell r="H248">
            <v>2132540</v>
          </cell>
        </row>
        <row r="250">
          <cell r="B250" t="str">
            <v>EPS</v>
          </cell>
          <cell r="C250">
            <v>2.9292805811932943</v>
          </cell>
          <cell r="D250">
            <v>2.8366790950289436</v>
          </cell>
          <cell r="E250">
            <v>2.6202139270901847</v>
          </cell>
          <cell r="F250">
            <v>0.2196231079298254</v>
          </cell>
          <cell r="G250">
            <v>4.5859491498400748</v>
          </cell>
          <cell r="H250">
            <v>6.6317630618886696</v>
          </cell>
        </row>
        <row r="252">
          <cell r="B252" t="str">
            <v>CASH  EPS</v>
          </cell>
          <cell r="C252">
            <v>4.1537944343057687</v>
          </cell>
          <cell r="D252">
            <v>4.4749962889550545</v>
          </cell>
          <cell r="E252">
            <v>4.7423270028378388</v>
          </cell>
          <cell r="F252">
            <v>4.8928634019904997</v>
          </cell>
          <cell r="G252">
            <v>12.953248239188925</v>
          </cell>
          <cell r="H252">
            <v>10.148695921295761</v>
          </cell>
        </row>
        <row r="254">
          <cell r="B254" t="str">
            <v>DIVIDEND %</v>
          </cell>
          <cell r="C254">
            <v>9.6473544058132368E-2</v>
          </cell>
          <cell r="D254">
            <v>9.4002074425615423E-2</v>
          </cell>
          <cell r="E254">
            <v>0</v>
          </cell>
          <cell r="F254">
            <v>0</v>
          </cell>
          <cell r="G254">
            <v>0</v>
          </cell>
          <cell r="H254">
            <v>0</v>
          </cell>
        </row>
        <row r="256">
          <cell r="B256" t="str">
            <v>NET  WORTH</v>
          </cell>
          <cell r="C256">
            <v>363.822</v>
          </cell>
          <cell r="D256">
            <v>491.28100000000001</v>
          </cell>
          <cell r="E256">
            <v>495.78399999999999</v>
          </cell>
          <cell r="F256">
            <v>422.60000000000008</v>
          </cell>
          <cell r="G256">
            <v>441.97500000000002</v>
          </cell>
          <cell r="H256">
            <v>673.39400000000001</v>
          </cell>
        </row>
        <row r="258">
          <cell r="B258" t="str">
            <v>BOOK VALUE PER SHARE</v>
          </cell>
          <cell r="C258">
            <v>15.884232861521268</v>
          </cell>
          <cell r="D258">
            <v>21.449010242484039</v>
          </cell>
          <cell r="E258">
            <v>21.645230299061339</v>
          </cell>
          <cell r="F258">
            <v>19.490282530692813</v>
          </cell>
          <cell r="G258">
            <v>20.725285340485993</v>
          </cell>
          <cell r="H258">
            <v>31.577086479034392</v>
          </cell>
        </row>
        <row r="260">
          <cell r="B260" t="str">
            <v>DEBT -EQUITY RATIO</v>
          </cell>
          <cell r="C260">
            <v>0.53773057831098148</v>
          </cell>
          <cell r="D260">
            <v>0.42674202203240885</v>
          </cell>
          <cell r="E260">
            <v>0.8667534886278121</v>
          </cell>
          <cell r="F260">
            <v>1.2468633629332568</v>
          </cell>
          <cell r="G260">
            <v>0.70251379922267088</v>
          </cell>
          <cell r="H260">
            <v>0.34688920128604483</v>
          </cell>
        </row>
        <row r="262">
          <cell r="B262" t="str">
            <v>CURRENT  RATIO</v>
          </cell>
          <cell r="C262">
            <v>1.4292223623371167</v>
          </cell>
          <cell r="D262">
            <v>1.4702810460071143</v>
          </cell>
          <cell r="E262">
            <v>1.4450908562291032</v>
          </cell>
          <cell r="F262">
            <v>2.0219241443108231</v>
          </cell>
          <cell r="G262">
            <v>2.6972576979764908</v>
          </cell>
          <cell r="H262">
            <v>2.6415403393603634</v>
          </cell>
        </row>
        <row r="264">
          <cell r="B264" t="str">
            <v>LIQUID  RATIO</v>
          </cell>
          <cell r="C264">
            <v>1.0955807762365142</v>
          </cell>
          <cell r="D264">
            <v>1.1738459133018022</v>
          </cell>
          <cell r="E264">
            <v>1.1130949265881669</v>
          </cell>
          <cell r="F264">
            <v>1.0995211405561298</v>
          </cell>
          <cell r="G264">
            <v>1.6471455227944329</v>
          </cell>
          <cell r="H264">
            <v>1.8994061509856379</v>
          </cell>
        </row>
        <row r="265">
          <cell r="B265" t="str">
            <v>=</v>
          </cell>
          <cell r="C265" t="str">
            <v>=</v>
          </cell>
          <cell r="D265" t="str">
            <v>=</v>
          </cell>
          <cell r="E265" t="str">
            <v>=</v>
          </cell>
          <cell r="F265" t="str">
            <v>=</v>
          </cell>
          <cell r="G265" t="str">
            <v>=</v>
          </cell>
          <cell r="H265" t="str">
            <v>=</v>
          </cell>
        </row>
        <row r="267">
          <cell r="C267" t="str">
            <v>(RS.IN LACS)</v>
          </cell>
        </row>
        <row r="268">
          <cell r="B268" t="str">
            <v>-</v>
          </cell>
          <cell r="C268" t="str">
            <v>-</v>
          </cell>
          <cell r="D268" t="str">
            <v>-</v>
          </cell>
          <cell r="E268" t="str">
            <v>-</v>
          </cell>
          <cell r="F268" t="str">
            <v>-</v>
          </cell>
          <cell r="G268" t="str">
            <v>-</v>
          </cell>
          <cell r="H268" t="str">
            <v>-</v>
          </cell>
        </row>
        <row r="269">
          <cell r="B269" t="str">
            <v>PARTICULARS</v>
          </cell>
          <cell r="C269" t="str">
            <v>1997-98</v>
          </cell>
          <cell r="D269" t="str">
            <v>1998-99</v>
          </cell>
          <cell r="E269" t="str">
            <v>1999-00</v>
          </cell>
          <cell r="F269" t="str">
            <v>2000-01</v>
          </cell>
          <cell r="G269" t="str">
            <v>2001-02</v>
          </cell>
          <cell r="H269" t="str">
            <v>2002-03</v>
          </cell>
        </row>
        <row r="270">
          <cell r="B270" t="str">
            <v>-</v>
          </cell>
          <cell r="C270" t="str">
            <v>-</v>
          </cell>
          <cell r="D270" t="str">
            <v>-</v>
          </cell>
          <cell r="E270" t="str">
            <v>-</v>
          </cell>
          <cell r="F270" t="str">
            <v>-</v>
          </cell>
          <cell r="G270" t="str">
            <v>-</v>
          </cell>
          <cell r="H270" t="str">
            <v>-</v>
          </cell>
        </row>
        <row r="271">
          <cell r="B271" t="str">
            <v>FIXED  ASSETS/ L.T.FUNDS</v>
          </cell>
          <cell r="C271">
            <v>0.86290909797718074</v>
          </cell>
          <cell r="D271">
            <v>0.88910089898865063</v>
          </cell>
          <cell r="E271">
            <v>0.91570840320511304</v>
          </cell>
          <cell r="F271">
            <v>0.78256865294882583</v>
          </cell>
          <cell r="G271">
            <v>0.75275896688216593</v>
          </cell>
          <cell r="H271">
            <v>0.50332994562035283</v>
          </cell>
        </row>
        <row r="273">
          <cell r="B273" t="str">
            <v>RETURN  ON NET  WORTH</v>
          </cell>
          <cell r="D273">
            <v>0.1519653187978523</v>
          </cell>
          <cell r="E273">
            <v>0.12160496015966665</v>
          </cell>
          <cell r="F273">
            <v>1.0370389728042372E-2</v>
          </cell>
          <cell r="G273">
            <v>0.2262318480178111</v>
          </cell>
          <cell r="H273">
            <v>0.25359320547729158</v>
          </cell>
        </row>
        <row r="275">
          <cell r="B275" t="str">
            <v>RETURN ON  CAPITAL</v>
          </cell>
          <cell r="C275">
            <v>0.25235071988445718</v>
          </cell>
          <cell r="D275">
            <v>0.24241304948027412</v>
          </cell>
          <cell r="E275">
            <v>0.24197072934725916</v>
          </cell>
          <cell r="F275">
            <v>2.0194566720097167E-2</v>
          </cell>
          <cell r="G275">
            <v>0.44451252215808157</v>
          </cell>
          <cell r="H275">
            <v>0.61754945198899891</v>
          </cell>
        </row>
        <row r="277">
          <cell r="B277" t="str">
            <v>GROSS  PROFIT  RATIO</v>
          </cell>
          <cell r="C277">
            <v>0.15593409522988841</v>
          </cell>
          <cell r="D277">
            <v>0.19097239571982155</v>
          </cell>
          <cell r="E277">
            <v>0.16002017942137722</v>
          </cell>
          <cell r="F277">
            <v>0.16960916868170084</v>
          </cell>
          <cell r="G277">
            <v>0.18225580133212729</v>
          </cell>
          <cell r="H277">
            <v>0.16152898762545073</v>
          </cell>
        </row>
        <row r="279">
          <cell r="B279" t="str">
            <v>NET  PROFIT  RATIO</v>
          </cell>
          <cell r="C279">
            <v>4.5168491520220545E-2</v>
          </cell>
          <cell r="D279">
            <v>3.4537510033329236E-2</v>
          </cell>
          <cell r="E279">
            <v>2.6328003333991656E-2</v>
          </cell>
          <cell r="F279">
            <v>1.4339615823561998E-3</v>
          </cell>
          <cell r="G279">
            <v>3.2167486226461484E-2</v>
          </cell>
          <cell r="H279">
            <v>5.5120335184644112E-2</v>
          </cell>
        </row>
        <row r="281">
          <cell r="B281" t="str">
            <v>CAPITAL  TURNOVER RATIO</v>
          </cell>
          <cell r="C281">
            <v>5.5868750846259161</v>
          </cell>
          <cell r="D281">
            <v>7.0188339937170277</v>
          </cell>
          <cell r="E281">
            <v>9.1906221021650616</v>
          </cell>
          <cell r="F281">
            <v>14.083059803397708</v>
          </cell>
          <cell r="G281">
            <v>13.818690059542748</v>
          </cell>
          <cell r="H281">
            <v>11.203659228854635</v>
          </cell>
        </row>
        <row r="283">
          <cell r="B283" t="str">
            <v>WORKING  CAP.  TURNOVER</v>
          </cell>
          <cell r="C283">
            <v>19.395905149900752</v>
          </cell>
          <cell r="D283">
            <v>15.636262384467047</v>
          </cell>
          <cell r="E283">
            <v>14.890357896387071</v>
          </cell>
          <cell r="F283">
            <v>17.683108003769991</v>
          </cell>
          <cell r="G283">
            <v>13.005582529463348</v>
          </cell>
          <cell r="H283">
            <v>9.884921521640301</v>
          </cell>
        </row>
        <row r="285">
          <cell r="B285" t="str">
            <v>INT./PBIT (%)</v>
          </cell>
          <cell r="C285">
            <v>0.42661561864392322</v>
          </cell>
          <cell r="D285">
            <v>0.52433140790523691</v>
          </cell>
          <cell r="E285">
            <v>0.62069657104535536</v>
          </cell>
          <cell r="F285">
            <v>0.39888190840389803</v>
          </cell>
          <cell r="G285">
            <v>0.3693057171744159</v>
          </cell>
          <cell r="H285">
            <v>0.19998227107525859</v>
          </cell>
        </row>
        <row r="286">
          <cell r="B286" t="str">
            <v>=</v>
          </cell>
          <cell r="C286" t="str">
            <v>=</v>
          </cell>
          <cell r="D286" t="str">
            <v>=</v>
          </cell>
          <cell r="E286" t="str">
            <v>=</v>
          </cell>
          <cell r="F286" t="str">
            <v>=</v>
          </cell>
          <cell r="G286" t="str">
            <v>=</v>
          </cell>
          <cell r="H286" t="str">
            <v>=</v>
          </cell>
        </row>
        <row r="292">
          <cell r="B292" t="str">
            <v>-</v>
          </cell>
          <cell r="C292" t="str">
            <v>-</v>
          </cell>
          <cell r="D292" t="str">
            <v>-</v>
          </cell>
          <cell r="E292" t="str">
            <v>-</v>
          </cell>
          <cell r="F292" t="str">
            <v>-</v>
          </cell>
          <cell r="G292" t="str">
            <v>-</v>
          </cell>
          <cell r="H292" t="str">
            <v>-</v>
          </cell>
        </row>
        <row r="293">
          <cell r="B293" t="str">
            <v>PARTICULARS</v>
          </cell>
          <cell r="C293" t="str">
            <v>1997-98</v>
          </cell>
          <cell r="D293" t="str">
            <v>1998-99</v>
          </cell>
          <cell r="E293" t="str">
            <v>1999-00</v>
          </cell>
          <cell r="F293" t="str">
            <v>2000-01</v>
          </cell>
          <cell r="G293" t="str">
            <v>2001-02</v>
          </cell>
          <cell r="H293" t="str">
            <v>2002-03</v>
          </cell>
        </row>
        <row r="294">
          <cell r="B294" t="str">
            <v>-</v>
          </cell>
          <cell r="C294" t="str">
            <v>-</v>
          </cell>
          <cell r="D294" t="str">
            <v>-</v>
          </cell>
          <cell r="E294" t="str">
            <v>-</v>
          </cell>
          <cell r="F294" t="str">
            <v>-</v>
          </cell>
          <cell r="G294" t="str">
            <v>-</v>
          </cell>
          <cell r="H294" t="str">
            <v>-</v>
          </cell>
        </row>
        <row r="295">
          <cell r="B295" t="str">
            <v>GROSS REVENUE</v>
          </cell>
          <cell r="C295">
            <v>1479.634</v>
          </cell>
          <cell r="D295">
            <v>1901.05</v>
          </cell>
          <cell r="E295">
            <v>2331.3060000000005</v>
          </cell>
          <cell r="F295">
            <v>3361.9189999999999</v>
          </cell>
          <cell r="G295">
            <v>2984.9791999999998</v>
          </cell>
          <cell r="H295">
            <v>2597.6440000000002</v>
          </cell>
        </row>
        <row r="297">
          <cell r="B297" t="str">
            <v>GROWTH IN QUANTITY</v>
          </cell>
        </row>
        <row r="298">
          <cell r="B298" t="str">
            <v>GROWTH   IN  %</v>
          </cell>
          <cell r="C298" t="e">
            <v>#REF!</v>
          </cell>
          <cell r="D298">
            <v>0.28481097352453372</v>
          </cell>
          <cell r="E298">
            <v>0.22632545172404753</v>
          </cell>
          <cell r="F298">
            <v>0.4420753860711546</v>
          </cell>
          <cell r="G298">
            <v>-0.11212042883841047</v>
          </cell>
          <cell r="H298">
            <v>-0.1297614402137206</v>
          </cell>
        </row>
        <row r="300">
          <cell r="B300" t="str">
            <v>PROFIT BEFORE TAX</v>
          </cell>
          <cell r="C300">
            <v>67.093999999999923</v>
          </cell>
          <cell r="D300">
            <v>64.972999999999956</v>
          </cell>
          <cell r="E300">
            <v>60.519000000000688</v>
          </cell>
          <cell r="F300">
            <v>165.05199999999923</v>
          </cell>
          <cell r="G300">
            <v>105.79719999999952</v>
          </cell>
          <cell r="H300">
            <v>153.42500000000064</v>
          </cell>
        </row>
        <row r="302">
          <cell r="B302" t="str">
            <v>GROWTH   IN  %</v>
          </cell>
          <cell r="D302">
            <v>-3.1612364742003296E-2</v>
          </cell>
          <cell r="E302">
            <v>-6.8551552183203357E-2</v>
          </cell>
          <cell r="F302">
            <v>1.7272757315883829</v>
          </cell>
          <cell r="G302">
            <v>-0.35900685844461128</v>
          </cell>
          <cell r="H302">
            <v>0.45018015599657962</v>
          </cell>
        </row>
        <row r="304">
          <cell r="B304" t="str">
            <v>PROFIT AFTER TAX</v>
          </cell>
          <cell r="C304">
            <v>67.093999999999923</v>
          </cell>
          <cell r="D304">
            <v>64.972999999999956</v>
          </cell>
          <cell r="E304">
            <v>60.016000000000687</v>
          </cell>
          <cell r="F304">
            <v>3.2183634601524653E-3</v>
          </cell>
          <cell r="G304">
            <v>4.7619999999992331</v>
          </cell>
          <cell r="H304">
            <v>6.6095534436218364E-2</v>
          </cell>
        </row>
        <row r="306">
          <cell r="B306" t="str">
            <v>DIVIDEND (%)</v>
          </cell>
          <cell r="C306">
            <v>9.6473544058132368E-2</v>
          </cell>
          <cell r="D306">
            <v>9.4002074425615423E-2</v>
          </cell>
          <cell r="E306">
            <v>0</v>
          </cell>
          <cell r="F306">
            <v>0</v>
          </cell>
          <cell r="G306">
            <v>0</v>
          </cell>
          <cell r="H306">
            <v>0</v>
          </cell>
        </row>
        <row r="308">
          <cell r="B308" t="str">
            <v>SHARE CAPITAL</v>
          </cell>
          <cell r="C308">
            <v>265.87599999999998</v>
          </cell>
          <cell r="D308">
            <v>268.02600000000001</v>
          </cell>
          <cell r="E308">
            <v>248.03</v>
          </cell>
          <cell r="F308">
            <v>235.80600000000001</v>
          </cell>
          <cell r="G308">
            <v>220.01</v>
          </cell>
          <cell r="H308">
            <v>229.01</v>
          </cell>
        </row>
        <row r="310">
          <cell r="B310" t="str">
            <v>RESERVES</v>
          </cell>
          <cell r="C310">
            <v>101.946</v>
          </cell>
          <cell r="D310">
            <v>226.69499999999999</v>
          </cell>
          <cell r="E310">
            <v>250.63</v>
          </cell>
          <cell r="F310">
            <v>189.11</v>
          </cell>
          <cell r="G310">
            <v>223.72</v>
          </cell>
          <cell r="H310">
            <v>446.13900000000001</v>
          </cell>
        </row>
        <row r="312">
          <cell r="B312" t="str">
            <v>BORROWINGS</v>
          </cell>
          <cell r="C312">
            <v>384.58</v>
          </cell>
          <cell r="D312">
            <v>449.11799999999999</v>
          </cell>
          <cell r="E312">
            <v>755.16</v>
          </cell>
          <cell r="F312">
            <v>655.49</v>
          </cell>
          <cell r="G312">
            <v>382.80700000000002</v>
          </cell>
          <cell r="H312">
            <v>364.95400000000001</v>
          </cell>
        </row>
        <row r="314">
          <cell r="B314" t="str">
            <v>CAPITAL EMPLOYED</v>
          </cell>
          <cell r="C314">
            <v>823.51900000000001</v>
          </cell>
          <cell r="D314">
            <v>1208.6790000000001</v>
          </cell>
          <cell r="E314">
            <v>1459.56</v>
          </cell>
          <cell r="F314">
            <v>1119.931</v>
          </cell>
          <cell r="G314">
            <v>935.17700000000013</v>
          </cell>
          <cell r="H314">
            <v>1128.203</v>
          </cell>
        </row>
        <row r="316">
          <cell r="B316" t="str">
            <v>NET WORTH</v>
          </cell>
          <cell r="C316">
            <v>363.822</v>
          </cell>
          <cell r="D316">
            <v>491.28100000000001</v>
          </cell>
          <cell r="E316">
            <v>495.78399999999999</v>
          </cell>
          <cell r="F316">
            <v>422.60000000000008</v>
          </cell>
          <cell r="G316">
            <v>441.97500000000002</v>
          </cell>
          <cell r="H316">
            <v>673.39400000000001</v>
          </cell>
        </row>
        <row r="318">
          <cell r="B318" t="str">
            <v>GROSS BLOCK</v>
          </cell>
          <cell r="C318">
            <v>692.09</v>
          </cell>
          <cell r="D318">
            <v>1022.12</v>
          </cell>
          <cell r="E318">
            <v>1194.46</v>
          </cell>
          <cell r="F318">
            <v>1227.2090000000001</v>
          </cell>
          <cell r="G318">
            <v>1191.136</v>
          </cell>
          <cell r="H318">
            <v>1191.6199999999999</v>
          </cell>
        </row>
        <row r="320">
          <cell r="B320" t="str">
            <v>NET BLOCK</v>
          </cell>
          <cell r="C320">
            <v>577.13</v>
          </cell>
          <cell r="D320">
            <v>870.42000000000007</v>
          </cell>
          <cell r="E320">
            <v>994.93000000000006</v>
          </cell>
          <cell r="F320">
            <v>767.28899999999999</v>
          </cell>
          <cell r="G320">
            <v>588.58600000000001</v>
          </cell>
          <cell r="H320">
            <v>514.06999999999994</v>
          </cell>
        </row>
        <row r="321">
          <cell r="B321">
            <v>0</v>
          </cell>
        </row>
        <row r="322">
          <cell r="B322" t="str">
            <v>DEBT-EQUITY RATIO</v>
          </cell>
          <cell r="C322">
            <v>0.64284182924616984</v>
          </cell>
          <cell r="D322">
            <v>0.59602956352881553</v>
          </cell>
          <cell r="E322">
            <v>1.0175398964064994</v>
          </cell>
          <cell r="F322">
            <v>1.2875059157595834</v>
          </cell>
          <cell r="G322">
            <v>0.7299960405000282</v>
          </cell>
          <cell r="H322">
            <v>0.39062421108593198</v>
          </cell>
        </row>
        <row r="324">
          <cell r="B324" t="str">
            <v>NUMBER OF SHARES</v>
          </cell>
          <cell r="C324">
            <v>2290460</v>
          </cell>
          <cell r="D324">
            <v>2290460.0000000005</v>
          </cell>
          <cell r="E324">
            <v>2290500</v>
          </cell>
          <cell r="F324">
            <v>2168260.0000000005</v>
          </cell>
          <cell r="G324">
            <v>2132540</v>
          </cell>
          <cell r="H324">
            <v>2132540</v>
          </cell>
        </row>
        <row r="326">
          <cell r="B326" t="str">
            <v>BOOK VALUE PER SHARE AT YEAR END</v>
          </cell>
          <cell r="C326">
            <v>15.884232861521268</v>
          </cell>
          <cell r="D326">
            <v>21.449010242484039</v>
          </cell>
          <cell r="E326">
            <v>21.645230299061339</v>
          </cell>
          <cell r="F326">
            <v>19.490282530692813</v>
          </cell>
          <cell r="G326">
            <v>20.725285340485993</v>
          </cell>
          <cell r="H326">
            <v>31.577086479034392</v>
          </cell>
        </row>
        <row r="328">
          <cell r="B328" t="str">
            <v>EARNINGS PER SHARE</v>
          </cell>
          <cell r="C328">
            <v>2.9292805811932943</v>
          </cell>
          <cell r="D328">
            <v>2.8366790950289436</v>
          </cell>
          <cell r="E328">
            <v>2.6202139270901847</v>
          </cell>
          <cell r="F328">
            <v>0.2196231079298254</v>
          </cell>
          <cell r="G328">
            <v>4.5859491498400748</v>
          </cell>
          <cell r="H328">
            <v>6.6317630618886696</v>
          </cell>
        </row>
        <row r="330">
          <cell r="B330" t="str">
            <v>NET SALES PER SHARE</v>
          </cell>
          <cell r="C330">
            <v>64.852300411271102</v>
          </cell>
          <cell r="D330">
            <v>0</v>
          </cell>
          <cell r="E330">
            <v>82.131848941279202</v>
          </cell>
          <cell r="F330">
            <v>0</v>
          </cell>
          <cell r="G330">
            <v>106.89365732881916</v>
          </cell>
          <cell r="H330">
            <v>0</v>
          </cell>
        </row>
        <row r="332">
          <cell r="B332" t="str">
            <v>DIVIDEND PER SHARE</v>
          </cell>
          <cell r="C332">
            <v>1.1198623857216454</v>
          </cell>
          <cell r="D332">
            <v>4.1040696814445745E-3</v>
          </cell>
          <cell r="E332">
            <v>1.0999781707050862</v>
          </cell>
          <cell r="F332">
            <v>0</v>
          </cell>
          <cell r="G332">
            <v>0</v>
          </cell>
          <cell r="H332">
            <v>0</v>
          </cell>
        </row>
        <row r="334">
          <cell r="B334" t="str">
            <v>PAY-OUT RATIO</v>
          </cell>
          <cell r="C334">
            <v>0.38229946045846169</v>
          </cell>
          <cell r="D334">
            <v>0.38777646099148905</v>
          </cell>
          <cell r="E334">
            <v>0</v>
          </cell>
          <cell r="F334">
            <v>0</v>
          </cell>
          <cell r="G334">
            <v>0</v>
          </cell>
          <cell r="H334">
            <v>0</v>
          </cell>
        </row>
        <row r="336">
          <cell r="B336" t="str">
            <v>CURRENT RATIO</v>
          </cell>
          <cell r="C336">
            <v>1.4292223623371167</v>
          </cell>
          <cell r="D336">
            <v>1.4702810460071143</v>
          </cell>
          <cell r="E336">
            <v>1.4450908562291032</v>
          </cell>
          <cell r="F336">
            <v>2.0219241443108231</v>
          </cell>
          <cell r="G336">
            <v>2.6972576979764908</v>
          </cell>
          <cell r="H336">
            <v>2.6415403393603634</v>
          </cell>
        </row>
        <row r="338">
          <cell r="B338" t="str">
            <v>LIQUID RATIO</v>
          </cell>
          <cell r="C338">
            <v>1.0955807762365142</v>
          </cell>
          <cell r="D338">
            <v>1.1738459133018022</v>
          </cell>
          <cell r="E338">
            <v>1.1130949265881669</v>
          </cell>
          <cell r="F338">
            <v>1.0995211405561298</v>
          </cell>
          <cell r="G338">
            <v>1.6471455227944329</v>
          </cell>
          <cell r="H338">
            <v>1.8994061509856379</v>
          </cell>
        </row>
        <row r="339">
          <cell r="B339" t="str">
            <v>EVA (ECONOMIC VALUE ADDITION)</v>
          </cell>
          <cell r="C339" t="e">
            <v>#REF!</v>
          </cell>
          <cell r="D339" t="e">
            <v>#REF!</v>
          </cell>
          <cell r="E339" t="e">
            <v>#REF!</v>
          </cell>
          <cell r="F339" t="e">
            <v>#REF!</v>
          </cell>
          <cell r="G339" t="e">
            <v>#REF!</v>
          </cell>
          <cell r="H339" t="e">
            <v>#REF!</v>
          </cell>
        </row>
        <row r="341">
          <cell r="B341" t="str">
            <v>EVA (% OF CAPITAL EMPLOYED)</v>
          </cell>
          <cell r="C341" t="e">
            <v>#REF!</v>
          </cell>
          <cell r="D341" t="e">
            <v>#REF!</v>
          </cell>
          <cell r="E341" t="e">
            <v>#REF!</v>
          </cell>
          <cell r="F341" t="e">
            <v>#REF!</v>
          </cell>
          <cell r="G341" t="e">
            <v>#REF!</v>
          </cell>
          <cell r="H341" t="e">
            <v>#REF!</v>
          </cell>
        </row>
        <row r="343">
          <cell r="B343" t="str">
            <v>SOLVENCY RATIO</v>
          </cell>
          <cell r="C343">
            <v>2.6400735302966414</v>
          </cell>
          <cell r="D343">
            <v>2.2234587162502883</v>
          </cell>
          <cell r="E343">
            <v>2.2371533127645913</v>
          </cell>
          <cell r="F343">
            <v>3.9468833547162023</v>
          </cell>
          <cell r="G343">
            <v>4.2496658045333788</v>
          </cell>
          <cell r="H343">
            <v>3.3046907048016805</v>
          </cell>
        </row>
        <row r="345">
          <cell r="B345" t="str">
            <v>RETURN ON NET WORTH</v>
          </cell>
          <cell r="C345">
            <v>0.18441435647102133</v>
          </cell>
          <cell r="D345">
            <v>0.13225221410964388</v>
          </cell>
          <cell r="E345">
            <v>0.12105271650557639</v>
          </cell>
          <cell r="F345">
            <v>7.6156257930725622E-6</v>
          </cell>
          <cell r="G345">
            <v>1.0774365065895656E-2</v>
          </cell>
          <cell r="H345">
            <v>9.815284133244187E-5</v>
          </cell>
        </row>
        <row r="347">
          <cell r="B347" t="str">
            <v>FIXED ASSETS  PER SHARE</v>
          </cell>
          <cell r="C347">
            <v>25.197121975498373</v>
          </cell>
          <cell r="D347">
            <v>38.001973402722591</v>
          </cell>
          <cell r="E347">
            <v>43.437240777122902</v>
          </cell>
          <cell r="F347">
            <v>35.387315174379452</v>
          </cell>
          <cell r="G347">
            <v>27.600232586493103</v>
          </cell>
          <cell r="H347">
            <v>24.105995667138714</v>
          </cell>
        </row>
        <row r="350">
          <cell r="B350" t="str">
            <v>=</v>
          </cell>
          <cell r="C350" t="str">
            <v>=</v>
          </cell>
          <cell r="D350" t="str">
            <v>=</v>
          </cell>
          <cell r="E350" t="str">
            <v>=</v>
          </cell>
          <cell r="F350" t="str">
            <v>=</v>
          </cell>
          <cell r="G350" t="str">
            <v>=</v>
          </cell>
          <cell r="H350" t="str">
            <v>=</v>
          </cell>
        </row>
      </sheetData>
      <sheetData sheetId="3">
        <row r="2">
          <cell r="B2" t="str">
            <v>COMBINED</v>
          </cell>
        </row>
        <row r="3">
          <cell r="B3">
            <v>0</v>
          </cell>
          <cell r="C3">
            <v>0</v>
          </cell>
          <cell r="D3">
            <v>0</v>
          </cell>
          <cell r="E3">
            <v>0</v>
          </cell>
          <cell r="F3">
            <v>0</v>
          </cell>
          <cell r="G3">
            <v>0</v>
          </cell>
          <cell r="H3">
            <v>0</v>
          </cell>
        </row>
        <row r="4">
          <cell r="B4" t="str">
            <v>BALANCE    SHEET     FOR    LAST    SIX  YEARS</v>
          </cell>
        </row>
        <row r="6">
          <cell r="B6" t="str">
            <v>-</v>
          </cell>
          <cell r="C6" t="str">
            <v>-</v>
          </cell>
          <cell r="D6" t="str">
            <v>-</v>
          </cell>
          <cell r="E6" t="str">
            <v>-</v>
          </cell>
          <cell r="F6" t="str">
            <v>-</v>
          </cell>
          <cell r="G6" t="str">
            <v>-</v>
          </cell>
          <cell r="H6" t="str">
            <v>-</v>
          </cell>
        </row>
        <row r="7">
          <cell r="B7" t="str">
            <v>PARTICULARS</v>
          </cell>
          <cell r="C7" t="str">
            <v>1997-98</v>
          </cell>
          <cell r="D7" t="str">
            <v>1998-99</v>
          </cell>
          <cell r="E7" t="str">
            <v>1999-00</v>
          </cell>
          <cell r="F7" t="str">
            <v>2000-01</v>
          </cell>
          <cell r="G7" t="str">
            <v>2001-02</v>
          </cell>
          <cell r="H7" t="str">
            <v>2002-03</v>
          </cell>
        </row>
        <row r="8">
          <cell r="B8" t="str">
            <v>-</v>
          </cell>
          <cell r="C8" t="str">
            <v>-</v>
          </cell>
          <cell r="D8" t="str">
            <v>-</v>
          </cell>
          <cell r="E8" t="str">
            <v>-</v>
          </cell>
          <cell r="F8" t="str">
            <v>-</v>
          </cell>
          <cell r="G8" t="str">
            <v>-</v>
          </cell>
          <cell r="H8" t="str">
            <v>-</v>
          </cell>
        </row>
        <row r="9">
          <cell r="B9" t="str">
            <v>SOURCES OF  FUNDS</v>
          </cell>
        </row>
        <row r="11">
          <cell r="B11" t="str">
            <v>Shareholders' Funds</v>
          </cell>
        </row>
        <row r="13">
          <cell r="B13" t="str">
            <v>a. Share  Capital</v>
          </cell>
          <cell r="C13">
            <v>298.60599999999999</v>
          </cell>
          <cell r="D13">
            <v>303.25600000000003</v>
          </cell>
          <cell r="E13">
            <v>283.26</v>
          </cell>
          <cell r="F13">
            <v>268.536</v>
          </cell>
          <cell r="G13">
            <v>252.73999999999998</v>
          </cell>
          <cell r="H13">
            <v>279.74</v>
          </cell>
        </row>
        <row r="14">
          <cell r="B14" t="str">
            <v xml:space="preserve">    Growth  %</v>
          </cell>
          <cell r="D14">
            <v>1.5572359564108003E-2</v>
          </cell>
          <cell r="E14">
            <v>-6.5937689608779493E-2</v>
          </cell>
          <cell r="F14">
            <v>-5.1980512603261989E-2</v>
          </cell>
          <cell r="G14">
            <v>-5.8822653201060643E-2</v>
          </cell>
          <cell r="H14">
            <v>0.10682915248872371</v>
          </cell>
        </row>
        <row r="16">
          <cell r="B16" t="str">
            <v>b. Share Application  Money</v>
          </cell>
          <cell r="C16">
            <v>0</v>
          </cell>
          <cell r="D16">
            <v>69.95</v>
          </cell>
          <cell r="E16">
            <v>119.49</v>
          </cell>
          <cell r="F16">
            <v>25.75</v>
          </cell>
          <cell r="G16">
            <v>91.35</v>
          </cell>
          <cell r="H16">
            <v>3.2</v>
          </cell>
        </row>
        <row r="17">
          <cell r="C17">
            <v>0</v>
          </cell>
          <cell r="D17">
            <v>0</v>
          </cell>
          <cell r="E17">
            <v>0</v>
          </cell>
          <cell r="F17">
            <v>0</v>
          </cell>
          <cell r="G17">
            <v>0</v>
          </cell>
          <cell r="H17">
            <v>0</v>
          </cell>
        </row>
        <row r="18">
          <cell r="B18" t="str">
            <v>c. Reserves and Surplus</v>
          </cell>
          <cell r="C18">
            <v>240.446</v>
          </cell>
          <cell r="D18">
            <v>445.875</v>
          </cell>
          <cell r="E18">
            <v>532.72</v>
          </cell>
          <cell r="F18">
            <v>447.12</v>
          </cell>
          <cell r="G18">
            <v>591.08699999999999</v>
          </cell>
          <cell r="H18">
            <v>1314.356</v>
          </cell>
        </row>
        <row r="19">
          <cell r="B19" t="str">
            <v xml:space="preserve">    Growth  %</v>
          </cell>
          <cell r="D19">
            <v>0.85436646897848167</v>
          </cell>
          <cell r="E19">
            <v>0.19477432015699472</v>
          </cell>
          <cell r="F19">
            <v>-0.1606847875056315</v>
          </cell>
          <cell r="G19">
            <v>0.32198738593666126</v>
          </cell>
          <cell r="H19">
            <v>1.2236252869712918</v>
          </cell>
        </row>
        <row r="21">
          <cell r="C21" t="str">
            <v>-</v>
          </cell>
          <cell r="D21" t="str">
            <v>-</v>
          </cell>
          <cell r="E21" t="str">
            <v>-</v>
          </cell>
          <cell r="F21" t="str">
            <v>-</v>
          </cell>
          <cell r="G21" t="str">
            <v>-</v>
          </cell>
          <cell r="H21" t="str">
            <v>-</v>
          </cell>
        </row>
        <row r="22">
          <cell r="C22">
            <v>539.05200000000002</v>
          </cell>
          <cell r="D22">
            <v>819.08100000000002</v>
          </cell>
          <cell r="E22">
            <v>935.47</v>
          </cell>
          <cell r="F22">
            <v>741.40599999999995</v>
          </cell>
          <cell r="G22">
            <v>935.17699999999991</v>
          </cell>
          <cell r="H22">
            <v>1597.296</v>
          </cell>
        </row>
        <row r="23">
          <cell r="C23" t="str">
            <v>-</v>
          </cell>
          <cell r="D23" t="str">
            <v>-</v>
          </cell>
          <cell r="E23" t="str">
            <v>-</v>
          </cell>
          <cell r="F23" t="str">
            <v>-</v>
          </cell>
          <cell r="G23" t="str">
            <v>-</v>
          </cell>
          <cell r="H23" t="str">
            <v>-</v>
          </cell>
        </row>
        <row r="24">
          <cell r="B24" t="str">
            <v>Loan  Funds</v>
          </cell>
          <cell r="C24">
            <v>0</v>
          </cell>
          <cell r="D24">
            <v>0</v>
          </cell>
          <cell r="E24">
            <v>0</v>
          </cell>
          <cell r="F24">
            <v>0</v>
          </cell>
          <cell r="G24">
            <v>0</v>
          </cell>
          <cell r="H24">
            <v>0</v>
          </cell>
        </row>
        <row r="26">
          <cell r="B26" t="str">
            <v>a. Secured  Loans</v>
          </cell>
          <cell r="C26">
            <v>697.56999999999994</v>
          </cell>
          <cell r="D26">
            <v>822.31799999999998</v>
          </cell>
          <cell r="E26">
            <v>1200.72</v>
          </cell>
          <cell r="F26">
            <v>840.28</v>
          </cell>
          <cell r="G26">
            <v>778.40700000000004</v>
          </cell>
          <cell r="H26">
            <v>1217.059</v>
          </cell>
        </row>
        <row r="27">
          <cell r="B27" t="str">
            <v xml:space="preserve">    Growth  %</v>
          </cell>
          <cell r="D27">
            <v>0.17883223189070641</v>
          </cell>
          <cell r="E27">
            <v>0.46016504563927829</v>
          </cell>
          <cell r="F27">
            <v>-0.30018655473382638</v>
          </cell>
          <cell r="G27">
            <v>-7.3633788737087563E-2</v>
          </cell>
          <cell r="H27">
            <v>0.56352525092914107</v>
          </cell>
        </row>
        <row r="29">
          <cell r="B29" t="str">
            <v>b.  Unsecured  Loans</v>
          </cell>
          <cell r="C29">
            <v>89.367000000000004</v>
          </cell>
          <cell r="D29">
            <v>310.14</v>
          </cell>
          <cell r="E29">
            <v>116.75</v>
          </cell>
          <cell r="F29">
            <v>13.775</v>
          </cell>
          <cell r="G29">
            <v>17.29</v>
          </cell>
          <cell r="H29">
            <v>98.785000000000011</v>
          </cell>
        </row>
        <row r="30">
          <cell r="C30" t="str">
            <v>-</v>
          </cell>
          <cell r="D30" t="str">
            <v>-</v>
          </cell>
          <cell r="E30" t="str">
            <v>-</v>
          </cell>
          <cell r="F30" t="str">
            <v>-</v>
          </cell>
          <cell r="G30" t="str">
            <v>-</v>
          </cell>
          <cell r="H30" t="str">
            <v>-</v>
          </cell>
        </row>
        <row r="31">
          <cell r="C31">
            <v>786.9369999999999</v>
          </cell>
          <cell r="D31">
            <v>1132.4580000000001</v>
          </cell>
          <cell r="E31">
            <v>1317.47</v>
          </cell>
          <cell r="F31">
            <v>854.05499999999995</v>
          </cell>
          <cell r="G31">
            <v>795.697</v>
          </cell>
          <cell r="H31">
            <v>1315.8440000000001</v>
          </cell>
        </row>
        <row r="32">
          <cell r="C32" t="str">
            <v>-</v>
          </cell>
          <cell r="D32" t="str">
            <v>-</v>
          </cell>
          <cell r="E32" t="str">
            <v>-</v>
          </cell>
          <cell r="F32" t="str">
            <v>-</v>
          </cell>
          <cell r="G32" t="str">
            <v>-</v>
          </cell>
          <cell r="H32" t="str">
            <v>-</v>
          </cell>
        </row>
        <row r="34">
          <cell r="C34" t="str">
            <v>-</v>
          </cell>
          <cell r="D34" t="str">
            <v>-</v>
          </cell>
          <cell r="E34" t="str">
            <v>-</v>
          </cell>
          <cell r="F34" t="str">
            <v>-</v>
          </cell>
          <cell r="G34" t="str">
            <v>-</v>
          </cell>
          <cell r="H34" t="str">
            <v>-</v>
          </cell>
        </row>
        <row r="35">
          <cell r="B35" t="str">
            <v>TOTAL</v>
          </cell>
          <cell r="C35">
            <v>1325.989</v>
          </cell>
          <cell r="D35">
            <v>1951.5390000000002</v>
          </cell>
          <cell r="E35">
            <v>2252.94</v>
          </cell>
          <cell r="F35">
            <v>1595.4609999999998</v>
          </cell>
          <cell r="G35">
            <v>1730.8739999999998</v>
          </cell>
          <cell r="H35">
            <v>2913.1400000000003</v>
          </cell>
        </row>
        <row r="36">
          <cell r="C36" t="str">
            <v>=</v>
          </cell>
          <cell r="D36" t="str">
            <v>=</v>
          </cell>
          <cell r="E36" t="str">
            <v>=</v>
          </cell>
          <cell r="F36" t="str">
            <v>=</v>
          </cell>
          <cell r="G36" t="str">
            <v>=</v>
          </cell>
          <cell r="H36" t="str">
            <v>=</v>
          </cell>
        </row>
        <row r="38">
          <cell r="B38" t="str">
            <v>APPLICATION  OF  FUNDS</v>
          </cell>
        </row>
        <row r="40">
          <cell r="B40" t="str">
            <v>Fixed  Assets</v>
          </cell>
        </row>
        <row r="42">
          <cell r="B42" t="str">
            <v>Gross  Block</v>
          </cell>
          <cell r="C42">
            <v>1006.83</v>
          </cell>
          <cell r="D42">
            <v>1474.41</v>
          </cell>
          <cell r="E42">
            <v>1648.41</v>
          </cell>
          <cell r="F42">
            <v>1687.9490000000001</v>
          </cell>
          <cell r="G42">
            <v>2004.2759999999998</v>
          </cell>
          <cell r="H42">
            <v>2627.8779999999997</v>
          </cell>
        </row>
        <row r="43">
          <cell r="B43" t="str">
            <v>Growth  %</v>
          </cell>
          <cell r="D43">
            <v>0.46440809272667682</v>
          </cell>
          <cell r="E43">
            <v>0.11801330701772234</v>
          </cell>
          <cell r="F43">
            <v>2.3986144223827801E-2</v>
          </cell>
          <cell r="G43">
            <v>0.18740317391105996</v>
          </cell>
          <cell r="H43">
            <v>0.31113579167739369</v>
          </cell>
        </row>
        <row r="44">
          <cell r="B44">
            <v>0</v>
          </cell>
        </row>
        <row r="45">
          <cell r="B45" t="str">
            <v>Less: Depreciation</v>
          </cell>
          <cell r="C45">
            <v>130.94999999999999</v>
          </cell>
          <cell r="D45">
            <v>185.14</v>
          </cell>
          <cell r="E45">
            <v>256.93</v>
          </cell>
          <cell r="F45">
            <v>650.89</v>
          </cell>
          <cell r="G45">
            <v>867.72</v>
          </cell>
          <cell r="H45">
            <v>1002.7239999999999</v>
          </cell>
        </row>
        <row r="46">
          <cell r="C46" t="str">
            <v>-</v>
          </cell>
          <cell r="D46" t="str">
            <v>-</v>
          </cell>
          <cell r="E46" t="str">
            <v>-</v>
          </cell>
          <cell r="F46" t="str">
            <v>-</v>
          </cell>
          <cell r="G46" t="str">
            <v>-</v>
          </cell>
          <cell r="H46" t="str">
            <v>-</v>
          </cell>
        </row>
        <row r="47">
          <cell r="B47" t="str">
            <v>Net  Block</v>
          </cell>
          <cell r="C47">
            <v>875.88000000000011</v>
          </cell>
          <cell r="D47">
            <v>1289.27</v>
          </cell>
          <cell r="E47">
            <v>1391.48</v>
          </cell>
          <cell r="F47">
            <v>1037.0590000000002</v>
          </cell>
          <cell r="G47">
            <v>1136.5559999999998</v>
          </cell>
          <cell r="H47">
            <v>1625.1539999999998</v>
          </cell>
        </row>
        <row r="49">
          <cell r="B49" t="str">
            <v>Investments</v>
          </cell>
          <cell r="C49">
            <v>65.63</v>
          </cell>
          <cell r="D49">
            <v>112.81899999999999</v>
          </cell>
          <cell r="E49">
            <v>56.809999999999995</v>
          </cell>
          <cell r="F49">
            <v>50.19</v>
          </cell>
          <cell r="G49">
            <v>50.19</v>
          </cell>
          <cell r="H49">
            <v>422.78999999999996</v>
          </cell>
        </row>
        <row r="50">
          <cell r="B50" t="str">
            <v>Growth  %</v>
          </cell>
          <cell r="D50">
            <v>0.71901569404235866</v>
          </cell>
          <cell r="E50">
            <v>-0.49645006603497638</v>
          </cell>
          <cell r="F50">
            <v>-0.11652878014434075</v>
          </cell>
          <cell r="G50">
            <v>0</v>
          </cell>
          <cell r="H50">
            <v>7.4237895995218164</v>
          </cell>
        </row>
        <row r="52">
          <cell r="B52" t="str">
            <v>Current Assets, Loans &amp; Advances</v>
          </cell>
        </row>
        <row r="54">
          <cell r="B54" t="str">
            <v>a. Inventories</v>
          </cell>
          <cell r="C54">
            <v>104.86</v>
          </cell>
          <cell r="D54">
            <v>129.08699999999999</v>
          </cell>
          <cell r="E54">
            <v>155.76</v>
          </cell>
          <cell r="F54">
            <v>228.06</v>
          </cell>
          <cell r="G54">
            <v>275.24300000000005</v>
          </cell>
          <cell r="H54">
            <v>405.64699999999999</v>
          </cell>
        </row>
        <row r="56">
          <cell r="B56" t="str">
            <v>b. Sundry  Debtors</v>
          </cell>
          <cell r="C56">
            <v>104.93</v>
          </cell>
          <cell r="D56">
            <v>79.63</v>
          </cell>
          <cell r="E56">
            <v>189.62</v>
          </cell>
          <cell r="F56">
            <v>198.18</v>
          </cell>
          <cell r="G56">
            <v>214.24799999999999</v>
          </cell>
          <cell r="H56">
            <v>146.32</v>
          </cell>
        </row>
        <row r="58">
          <cell r="B58" t="str">
            <v>c.  Cash &amp; Bank Balances</v>
          </cell>
          <cell r="C58">
            <v>25.63</v>
          </cell>
          <cell r="D58">
            <v>37.878</v>
          </cell>
          <cell r="E58">
            <v>29.16</v>
          </cell>
          <cell r="F58">
            <v>38.74</v>
          </cell>
          <cell r="G58">
            <v>3.2490000000000001</v>
          </cell>
          <cell r="H58">
            <v>4.3639999999999999</v>
          </cell>
        </row>
        <row r="60">
          <cell r="B60" t="str">
            <v>d.  Loans &amp;  Advances</v>
          </cell>
          <cell r="C60">
            <v>126.03399999999999</v>
          </cell>
          <cell r="D60">
            <v>335.98800000000006</v>
          </cell>
          <cell r="E60">
            <v>485.39</v>
          </cell>
          <cell r="F60">
            <v>73.804999999999993</v>
          </cell>
          <cell r="G60">
            <v>145.55700000000002</v>
          </cell>
          <cell r="H60">
            <v>136.51299999999998</v>
          </cell>
        </row>
        <row r="62">
          <cell r="B62" t="str">
            <v>e.  Deposits</v>
          </cell>
          <cell r="C62">
            <v>58.286000000000001</v>
          </cell>
          <cell r="D62">
            <v>34.449999999999996</v>
          </cell>
          <cell r="E62">
            <v>8.4699999999999989</v>
          </cell>
          <cell r="F62">
            <v>8.4849999999999994</v>
          </cell>
          <cell r="G62">
            <v>8.69</v>
          </cell>
          <cell r="H62">
            <v>114.32000000000001</v>
          </cell>
        </row>
        <row r="64">
          <cell r="B64" t="str">
            <v>f. Trade  Investments</v>
          </cell>
          <cell r="C64">
            <v>29.998999999999999</v>
          </cell>
          <cell r="D64">
            <v>58.198999999999998</v>
          </cell>
          <cell r="E64">
            <v>58.198999999999998</v>
          </cell>
          <cell r="F64">
            <v>58.198999999999998</v>
          </cell>
          <cell r="G64">
            <v>58.198999999999998</v>
          </cell>
          <cell r="H64">
            <v>178.19900000000001</v>
          </cell>
        </row>
        <row r="65">
          <cell r="C65" t="str">
            <v>-</v>
          </cell>
          <cell r="D65" t="str">
            <v>-</v>
          </cell>
          <cell r="E65" t="str">
            <v>-</v>
          </cell>
          <cell r="F65" t="str">
            <v>-</v>
          </cell>
          <cell r="G65" t="str">
            <v>-</v>
          </cell>
          <cell r="H65" t="str">
            <v>-</v>
          </cell>
        </row>
        <row r="66">
          <cell r="C66">
            <v>449.73900000000003</v>
          </cell>
          <cell r="D66">
            <v>675.23200000000008</v>
          </cell>
          <cell r="E66">
            <v>926.59900000000005</v>
          </cell>
          <cell r="F66">
            <v>605.46899999999994</v>
          </cell>
          <cell r="G66">
            <v>705.18600000000004</v>
          </cell>
          <cell r="H66">
            <v>985.36300000000006</v>
          </cell>
        </row>
        <row r="68">
          <cell r="B68" t="str">
            <v>Less: Current  Liabilities</v>
          </cell>
          <cell r="C68">
            <v>71.275000000000006</v>
          </cell>
          <cell r="D68">
            <v>131.01</v>
          </cell>
          <cell r="E68">
            <v>126.38999999999999</v>
          </cell>
          <cell r="F68">
            <v>100.91</v>
          </cell>
          <cell r="G68">
            <v>163.93899999999999</v>
          </cell>
          <cell r="H68">
            <v>123.041</v>
          </cell>
        </row>
        <row r="69">
          <cell r="C69" t="str">
            <v>-</v>
          </cell>
          <cell r="D69" t="str">
            <v>-</v>
          </cell>
          <cell r="E69" t="str">
            <v>-</v>
          </cell>
          <cell r="F69" t="str">
            <v>-</v>
          </cell>
          <cell r="G69" t="str">
            <v>-</v>
          </cell>
          <cell r="H69" t="str">
            <v>-</v>
          </cell>
        </row>
        <row r="70">
          <cell r="B70" t="str">
            <v>Net  Current  Assets</v>
          </cell>
          <cell r="C70">
            <v>378.46400000000006</v>
          </cell>
          <cell r="D70">
            <v>544.22200000000009</v>
          </cell>
          <cell r="E70">
            <v>800.20900000000006</v>
          </cell>
          <cell r="F70">
            <v>504.55899999999997</v>
          </cell>
          <cell r="G70">
            <v>541.24700000000007</v>
          </cell>
          <cell r="H70">
            <v>862.32200000000012</v>
          </cell>
        </row>
        <row r="72">
          <cell r="B72" t="str">
            <v>Miscellaneous Expenditure</v>
          </cell>
          <cell r="C72">
            <v>6.0209999999999999</v>
          </cell>
          <cell r="D72">
            <v>5.23</v>
          </cell>
          <cell r="E72">
            <v>4.4405000000000001</v>
          </cell>
          <cell r="F72">
            <v>3.6559999999999997</v>
          </cell>
          <cell r="G72">
            <v>2.8719999999999999</v>
          </cell>
          <cell r="H72">
            <v>2.8719999999999999</v>
          </cell>
        </row>
        <row r="74">
          <cell r="B74" t="str">
            <v>(to the extent not written off or adjusted)</v>
          </cell>
        </row>
        <row r="76">
          <cell r="B76" t="str">
            <v>Preliminary  Expenses</v>
          </cell>
          <cell r="C76">
            <v>4</v>
          </cell>
          <cell r="D76">
            <v>3.44</v>
          </cell>
          <cell r="E76">
            <v>2.8759999999999999</v>
          </cell>
          <cell r="F76">
            <v>2.3159999999999998</v>
          </cell>
          <cell r="G76">
            <v>1.7549999999999999</v>
          </cell>
          <cell r="H76">
            <v>1.7549999999999999</v>
          </cell>
        </row>
        <row r="78">
          <cell r="B78" t="str">
            <v>Deferred  Revenue  Expenditure</v>
          </cell>
          <cell r="C78">
            <v>2.0209999999999999</v>
          </cell>
          <cell r="D78">
            <v>1.79</v>
          </cell>
          <cell r="E78">
            <v>1.5645</v>
          </cell>
          <cell r="F78">
            <v>1.34</v>
          </cell>
          <cell r="G78">
            <v>1.117</v>
          </cell>
          <cell r="H78">
            <v>1.117</v>
          </cell>
        </row>
        <row r="80">
          <cell r="C80" t="str">
            <v>-</v>
          </cell>
          <cell r="D80" t="str">
            <v>-</v>
          </cell>
          <cell r="E80" t="str">
            <v>-</v>
          </cell>
          <cell r="F80" t="str">
            <v>-</v>
          </cell>
          <cell r="G80" t="str">
            <v>-</v>
          </cell>
          <cell r="H80" t="str">
            <v>-</v>
          </cell>
        </row>
        <row r="81">
          <cell r="B81" t="str">
            <v>TOTAL….</v>
          </cell>
          <cell r="C81">
            <v>1325.9950000000001</v>
          </cell>
          <cell r="D81">
            <v>1951.5410000000002</v>
          </cell>
          <cell r="E81">
            <v>2252.9395</v>
          </cell>
          <cell r="F81">
            <v>1595.4640000000002</v>
          </cell>
          <cell r="G81">
            <v>1730.865</v>
          </cell>
          <cell r="H81">
            <v>2913.1379999999995</v>
          </cell>
        </row>
        <row r="82">
          <cell r="C82" t="str">
            <v>=</v>
          </cell>
          <cell r="D82" t="str">
            <v>=</v>
          </cell>
          <cell r="E82" t="str">
            <v>=</v>
          </cell>
          <cell r="F82" t="str">
            <v>=</v>
          </cell>
          <cell r="G82" t="str">
            <v>=</v>
          </cell>
          <cell r="H82" t="str">
            <v>=</v>
          </cell>
        </row>
        <row r="87">
          <cell r="B87" t="str">
            <v>PROFIT  AND  LOSS  ACCOUNT  FOR  LAST SIX YEARS</v>
          </cell>
        </row>
        <row r="89">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row>
        <row r="90">
          <cell r="B90" t="str">
            <v>PARTICULARS</v>
          </cell>
          <cell r="C90" t="str">
            <v>%</v>
          </cell>
          <cell r="D90" t="str">
            <v>1997-98</v>
          </cell>
          <cell r="E90" t="str">
            <v>%</v>
          </cell>
          <cell r="F90" t="str">
            <v>1998-99</v>
          </cell>
          <cell r="G90" t="str">
            <v>%</v>
          </cell>
          <cell r="H90" t="str">
            <v>1999-00</v>
          </cell>
          <cell r="I90" t="str">
            <v>%</v>
          </cell>
          <cell r="J90" t="str">
            <v>2000-01</v>
          </cell>
          <cell r="K90" t="str">
            <v>%</v>
          </cell>
          <cell r="L90" t="str">
            <v>2001-02</v>
          </cell>
          <cell r="M90" t="str">
            <v>%</v>
          </cell>
          <cell r="N90" t="str">
            <v>2002-03</v>
          </cell>
        </row>
        <row r="91">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row>
        <row r="92">
          <cell r="B92" t="str">
            <v>INCOME</v>
          </cell>
        </row>
        <row r="94">
          <cell r="B94" t="str">
            <v>Sales</v>
          </cell>
          <cell r="D94">
            <v>2849.6959999999999</v>
          </cell>
          <cell r="F94">
            <v>2975.21</v>
          </cell>
          <cell r="H94">
            <v>4497.33</v>
          </cell>
          <cell r="J94">
            <v>5949.45</v>
          </cell>
          <cell r="L94">
            <v>6130.15</v>
          </cell>
          <cell r="N94">
            <v>7121.7079999999996</v>
          </cell>
        </row>
        <row r="96">
          <cell r="B96" t="str">
            <v xml:space="preserve">Other  Income </v>
          </cell>
          <cell r="D96">
            <v>3.6259999999999999</v>
          </cell>
          <cell r="F96">
            <v>9.7799999999999994</v>
          </cell>
          <cell r="H96">
            <v>8.23</v>
          </cell>
          <cell r="J96">
            <v>12.531000000000001</v>
          </cell>
          <cell r="L96">
            <v>1.8640000000000001</v>
          </cell>
          <cell r="N96">
            <v>0.79999999999999993</v>
          </cell>
        </row>
        <row r="98">
          <cell r="B98" t="str">
            <v>Increase/(Decrease)  in Stocks</v>
          </cell>
          <cell r="D98">
            <v>5.8120000000000012</v>
          </cell>
          <cell r="F98">
            <v>22.29</v>
          </cell>
          <cell r="H98">
            <v>47.985999999999997</v>
          </cell>
          <cell r="J98">
            <v>37.588000000000001</v>
          </cell>
          <cell r="L98">
            <v>-35.724800000000002</v>
          </cell>
          <cell r="N98">
            <v>241.82300000000001</v>
          </cell>
        </row>
        <row r="99">
          <cell r="C99" t="str">
            <v>-</v>
          </cell>
          <cell r="D99" t="str">
            <v>-</v>
          </cell>
          <cell r="E99" t="str">
            <v>-</v>
          </cell>
          <cell r="F99" t="str">
            <v>-</v>
          </cell>
          <cell r="G99" t="str">
            <v>-</v>
          </cell>
          <cell r="H99" t="str">
            <v>-</v>
          </cell>
          <cell r="I99" t="str">
            <v>-</v>
          </cell>
          <cell r="J99" t="str">
            <v>-</v>
          </cell>
          <cell r="K99" t="str">
            <v>-</v>
          </cell>
          <cell r="L99" t="str">
            <v>-</v>
          </cell>
          <cell r="M99" t="str">
            <v>-</v>
          </cell>
          <cell r="N99" t="str">
            <v>-</v>
          </cell>
        </row>
        <row r="100">
          <cell r="B100" t="str">
            <v>TOTAL  INCOME</v>
          </cell>
          <cell r="C100">
            <v>1</v>
          </cell>
          <cell r="D100">
            <v>2859.134</v>
          </cell>
          <cell r="E100">
            <v>1</v>
          </cell>
          <cell r="F100">
            <v>3007.28</v>
          </cell>
          <cell r="G100">
            <v>1</v>
          </cell>
          <cell r="H100">
            <v>4553.5459999999994</v>
          </cell>
          <cell r="I100">
            <v>1</v>
          </cell>
          <cell r="J100">
            <v>5999.5689999999995</v>
          </cell>
          <cell r="K100">
            <v>1</v>
          </cell>
          <cell r="L100">
            <v>6096.2891999999993</v>
          </cell>
          <cell r="M100">
            <v>1</v>
          </cell>
          <cell r="N100">
            <v>7364.3310000000001</v>
          </cell>
        </row>
        <row r="101">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row>
        <row r="103">
          <cell r="B103" t="str">
            <v>EXPENDITURE</v>
          </cell>
        </row>
        <row r="105">
          <cell r="B105" t="str">
            <v>Raw  Material  Consumed   Including</v>
          </cell>
          <cell r="C105">
            <v>0.78691105418633744</v>
          </cell>
          <cell r="D105">
            <v>2249.8841499999999</v>
          </cell>
          <cell r="E105">
            <v>0.75046320262828869</v>
          </cell>
          <cell r="F105">
            <v>2256.8529800000001</v>
          </cell>
          <cell r="G105">
            <v>0.79818365730795304</v>
          </cell>
          <cell r="H105">
            <v>3634.5659999999998</v>
          </cell>
          <cell r="I105">
            <v>0.789284030236172</v>
          </cell>
          <cell r="J105">
            <v>4735.3639999999996</v>
          </cell>
          <cell r="K105">
            <v>0.7836353957748593</v>
          </cell>
          <cell r="L105">
            <v>4777.268</v>
          </cell>
          <cell r="M105">
            <v>0.80453431547278365</v>
          </cell>
          <cell r="N105">
            <v>5924.857</v>
          </cell>
        </row>
        <row r="106">
          <cell r="B106" t="str">
            <v>Excise  Duty</v>
          </cell>
        </row>
        <row r="107">
          <cell r="C107">
            <v>0</v>
          </cell>
          <cell r="E107">
            <v>0</v>
          </cell>
          <cell r="G107">
            <v>0</v>
          </cell>
          <cell r="I107">
            <v>0</v>
          </cell>
          <cell r="K107">
            <v>0</v>
          </cell>
          <cell r="M107">
            <v>0</v>
          </cell>
        </row>
        <row r="108">
          <cell r="B108" t="str">
            <v>Power &amp; Fuel</v>
          </cell>
          <cell r="C108">
            <v>4.2264196081750624E-2</v>
          </cell>
          <cell r="D108">
            <v>120.839</v>
          </cell>
          <cell r="E108">
            <v>6.9750738208613772E-2</v>
          </cell>
          <cell r="F108">
            <v>209.76000000000002</v>
          </cell>
          <cell r="G108">
            <v>5.7670659305956287E-2</v>
          </cell>
          <cell r="H108">
            <v>262.60599999999999</v>
          </cell>
          <cell r="I108">
            <v>4.6116312688461461E-2</v>
          </cell>
          <cell r="J108">
            <v>276.678</v>
          </cell>
          <cell r="K108">
            <v>5.2251458149327953E-2</v>
          </cell>
          <cell r="L108">
            <v>318.53999999999996</v>
          </cell>
          <cell r="M108">
            <v>4.4358000747114705E-2</v>
          </cell>
          <cell r="N108">
            <v>326.66699999999997</v>
          </cell>
        </row>
        <row r="109">
          <cell r="G109">
            <v>0</v>
          </cell>
          <cell r="I109">
            <v>0</v>
          </cell>
          <cell r="K109">
            <v>0</v>
          </cell>
          <cell r="M109">
            <v>0</v>
          </cell>
        </row>
        <row r="110">
          <cell r="B110" t="str">
            <v>Other  Manufacturing   Expenses</v>
          </cell>
          <cell r="C110">
            <v>2.9910455403629212E-2</v>
          </cell>
          <cell r="D110">
            <v>85.518000000000001</v>
          </cell>
          <cell r="E110">
            <v>4.0598148492990344E-2</v>
          </cell>
          <cell r="F110">
            <v>122.09</v>
          </cell>
          <cell r="G110">
            <v>4.6129104658215819E-2</v>
          </cell>
          <cell r="H110">
            <v>210.05099999999999</v>
          </cell>
          <cell r="I110">
            <v>5.4390240365599599E-2</v>
          </cell>
          <cell r="J110">
            <v>326.31799999999998</v>
          </cell>
          <cell r="K110">
            <v>4.5248181467506504E-2</v>
          </cell>
          <cell r="L110">
            <v>275.846</v>
          </cell>
          <cell r="M110">
            <v>4.9649995362783125E-2</v>
          </cell>
          <cell r="N110">
            <v>365.63900000000001</v>
          </cell>
        </row>
        <row r="111">
          <cell r="C111">
            <v>0</v>
          </cell>
          <cell r="E111">
            <v>0</v>
          </cell>
          <cell r="G111">
            <v>0</v>
          </cell>
          <cell r="I111">
            <v>0</v>
          </cell>
          <cell r="K111">
            <v>0</v>
          </cell>
          <cell r="M111">
            <v>0</v>
          </cell>
        </row>
        <row r="112">
          <cell r="B112" t="str">
            <v>Payment  To  Employees</v>
          </cell>
          <cell r="C112">
            <v>1.1400654883611612E-2</v>
          </cell>
          <cell r="D112">
            <v>32.596000000000004</v>
          </cell>
          <cell r="E112">
            <v>1.4870580724109492E-2</v>
          </cell>
          <cell r="F112">
            <v>44.72</v>
          </cell>
          <cell r="G112">
            <v>8.412125407319922E-3</v>
          </cell>
          <cell r="H112">
            <v>38.305</v>
          </cell>
          <cell r="I112">
            <v>7.6982196554452502E-3</v>
          </cell>
          <cell r="J112">
            <v>46.186</v>
          </cell>
          <cell r="K112">
            <v>9.1855878490803896E-3</v>
          </cell>
          <cell r="L112">
            <v>55.998000000000005</v>
          </cell>
          <cell r="M112">
            <v>1.261187200846893E-2</v>
          </cell>
          <cell r="N112">
            <v>92.878</v>
          </cell>
        </row>
        <row r="113">
          <cell r="C113">
            <v>0</v>
          </cell>
          <cell r="E113">
            <v>0</v>
          </cell>
          <cell r="G113">
            <v>0</v>
          </cell>
          <cell r="I113">
            <v>0</v>
          </cell>
          <cell r="K113">
            <v>0</v>
          </cell>
          <cell r="M113">
            <v>0</v>
          </cell>
        </row>
        <row r="114">
          <cell r="B114" t="str">
            <v xml:space="preserve"> Administration   Exp.</v>
          </cell>
          <cell r="C114">
            <v>1.4559807270313318E-2</v>
          </cell>
          <cell r="D114">
            <v>41.628439999999998</v>
          </cell>
          <cell r="E114">
            <v>1.7091857093453219E-2</v>
          </cell>
          <cell r="F114">
            <v>51.4</v>
          </cell>
          <cell r="G114">
            <v>5.1832132584144321E-3</v>
          </cell>
          <cell r="H114">
            <v>23.602</v>
          </cell>
          <cell r="I114">
            <v>6.4632976135452404E-3</v>
          </cell>
          <cell r="J114">
            <v>38.777000000000001</v>
          </cell>
          <cell r="K114">
            <v>1.1706137563158915E-2</v>
          </cell>
          <cell r="L114">
            <v>71.364000000000004</v>
          </cell>
          <cell r="M114">
            <v>6.1564315889657863E-3</v>
          </cell>
          <cell r="N114">
            <v>45.338000000000001</v>
          </cell>
        </row>
        <row r="115">
          <cell r="G115">
            <v>0</v>
          </cell>
          <cell r="I115">
            <v>0</v>
          </cell>
          <cell r="K115">
            <v>0</v>
          </cell>
          <cell r="M115">
            <v>0</v>
          </cell>
        </row>
        <row r="116">
          <cell r="B116" t="str">
            <v>Selling  &amp;  Distribution   Exp.</v>
          </cell>
          <cell r="C116">
            <v>3.0462230871305786E-3</v>
          </cell>
          <cell r="D116">
            <v>8.7095599999999997</v>
          </cell>
          <cell r="E116">
            <v>3.0642307999255137E-3</v>
          </cell>
          <cell r="F116">
            <v>9.2149999999999999</v>
          </cell>
          <cell r="G116">
            <v>5.7010514443029683E-4</v>
          </cell>
          <cell r="H116">
            <v>2.5960000000000001</v>
          </cell>
          <cell r="I116">
            <v>1.9223047522247019E-3</v>
          </cell>
          <cell r="J116">
            <v>11.533000000000001</v>
          </cell>
          <cell r="K116">
            <v>1.6583858915354608E-3</v>
          </cell>
          <cell r="L116">
            <v>10.11</v>
          </cell>
          <cell r="M116">
            <v>2.71579319289152E-5</v>
          </cell>
          <cell r="N116">
            <v>0.2</v>
          </cell>
        </row>
        <row r="117">
          <cell r="C117">
            <v>0</v>
          </cell>
          <cell r="E117">
            <v>0</v>
          </cell>
          <cell r="G117">
            <v>0</v>
          </cell>
          <cell r="I117">
            <v>0</v>
          </cell>
          <cell r="K117">
            <v>0</v>
          </cell>
          <cell r="M117">
            <v>0</v>
          </cell>
        </row>
        <row r="118">
          <cell r="B118" t="str">
            <v>Interest &amp; Finance Expenses</v>
          </cell>
          <cell r="C118">
            <v>3.8193383031365442E-2</v>
          </cell>
          <cell r="D118">
            <v>109.2</v>
          </cell>
          <cell r="E118">
            <v>3.9544039796759863E-2</v>
          </cell>
          <cell r="F118">
            <v>118.92</v>
          </cell>
          <cell r="G118">
            <v>3.7615519860785422E-2</v>
          </cell>
          <cell r="H118">
            <v>171.28399999999999</v>
          </cell>
          <cell r="I118">
            <v>2.7042442548789757E-2</v>
          </cell>
          <cell r="J118">
            <v>162.24299999999999</v>
          </cell>
          <cell r="K118">
            <v>1.7525415296898977E-2</v>
          </cell>
          <cell r="L118">
            <v>106.84</v>
          </cell>
          <cell r="M118">
            <v>1.4187032060346012E-2</v>
          </cell>
          <cell r="N118">
            <v>104.47800000000001</v>
          </cell>
        </row>
        <row r="119">
          <cell r="C119">
            <v>0</v>
          </cell>
          <cell r="E119">
            <v>0</v>
          </cell>
          <cell r="G119">
            <v>0</v>
          </cell>
          <cell r="I119">
            <v>0</v>
          </cell>
          <cell r="K119">
            <v>0</v>
          </cell>
          <cell r="M119">
            <v>0</v>
          </cell>
        </row>
        <row r="120">
          <cell r="B120" t="str">
            <v>Depreciation</v>
          </cell>
          <cell r="C120">
            <v>1.5129406316737865E-2</v>
          </cell>
          <cell r="D120">
            <v>43.256999999999998</v>
          </cell>
          <cell r="E120">
            <v>1.8021268388710061E-2</v>
          </cell>
          <cell r="F120">
            <v>54.194999999999993</v>
          </cell>
          <cell r="G120">
            <v>1.5765076272425932E-2</v>
          </cell>
          <cell r="H120">
            <v>71.787000000000006</v>
          </cell>
          <cell r="I120">
            <v>2.459893369007007E-2</v>
          </cell>
          <cell r="J120">
            <v>147.583</v>
          </cell>
          <cell r="K120">
            <v>4.1314477010047368E-2</v>
          </cell>
          <cell r="L120">
            <v>251.86500000000001</v>
          </cell>
          <cell r="M120">
            <v>1.8331604052017759E-2</v>
          </cell>
          <cell r="N120">
            <v>135</v>
          </cell>
        </row>
        <row r="121">
          <cell r="C121">
            <v>0</v>
          </cell>
          <cell r="E121">
            <v>0</v>
          </cell>
          <cell r="G121">
            <v>0</v>
          </cell>
          <cell r="I121">
            <v>0</v>
          </cell>
          <cell r="K121">
            <v>0</v>
          </cell>
          <cell r="M121">
            <v>0</v>
          </cell>
        </row>
        <row r="122">
          <cell r="B122" t="str">
            <v>Preliminary Expenses w/off</v>
          </cell>
          <cell r="C122">
            <v>2.7280987879546744E-4</v>
          </cell>
          <cell r="D122">
            <v>0.78</v>
          </cell>
          <cell r="E122">
            <v>2.5937059402516557E-4</v>
          </cell>
          <cell r="F122">
            <v>0.78</v>
          </cell>
          <cell r="G122">
            <v>1.7129507421249289E-4</v>
          </cell>
          <cell r="H122">
            <v>0.78</v>
          </cell>
          <cell r="I122">
            <v>1.3000933900418515E-4</v>
          </cell>
          <cell r="J122">
            <v>0.78</v>
          </cell>
          <cell r="K122">
            <v>1.2794668599383377E-4</v>
          </cell>
          <cell r="L122">
            <v>0.78</v>
          </cell>
          <cell r="M122">
            <v>0</v>
          </cell>
          <cell r="N122">
            <v>0</v>
          </cell>
        </row>
        <row r="123">
          <cell r="C123">
            <v>0</v>
          </cell>
          <cell r="E123">
            <v>0</v>
          </cell>
          <cell r="G123">
            <v>0</v>
          </cell>
          <cell r="I123">
            <v>0</v>
          </cell>
          <cell r="K123">
            <v>0</v>
          </cell>
          <cell r="M123">
            <v>0</v>
          </cell>
        </row>
        <row r="124">
          <cell r="C124">
            <v>0</v>
          </cell>
          <cell r="D124" t="str">
            <v>-</v>
          </cell>
          <cell r="E124">
            <v>0</v>
          </cell>
          <cell r="F124" t="str">
            <v>-</v>
          </cell>
          <cell r="G124">
            <v>0</v>
          </cell>
          <cell r="H124" t="str">
            <v>-</v>
          </cell>
          <cell r="I124">
            <v>0</v>
          </cell>
          <cell r="J124" t="str">
            <v>-</v>
          </cell>
          <cell r="K124">
            <v>0</v>
          </cell>
          <cell r="L124" t="str">
            <v>-</v>
          </cell>
          <cell r="M124">
            <v>0</v>
          </cell>
          <cell r="N124" t="str">
            <v>-</v>
          </cell>
        </row>
        <row r="125">
          <cell r="B125" t="str">
            <v>TOTAL  EXPENDITURE</v>
          </cell>
          <cell r="C125">
            <v>0.94168799013967153</v>
          </cell>
          <cell r="D125">
            <v>2692.4121499999997</v>
          </cell>
          <cell r="E125">
            <v>0.95366343672687637</v>
          </cell>
          <cell r="F125">
            <v>2867.932980000001</v>
          </cell>
          <cell r="G125">
            <v>0.96970075628971353</v>
          </cell>
          <cell r="H125">
            <v>4415.5769999999993</v>
          </cell>
          <cell r="I125">
            <v>0.95764579088931223</v>
          </cell>
          <cell r="J125">
            <v>5745.4619999999995</v>
          </cell>
          <cell r="K125">
            <v>0.96265298568840851</v>
          </cell>
          <cell r="L125">
            <v>5868.610999999999</v>
          </cell>
          <cell r="M125">
            <v>0.94985640922440884</v>
          </cell>
          <cell r="N125">
            <v>6995.0569999999998</v>
          </cell>
        </row>
        <row r="126">
          <cell r="C126">
            <v>0</v>
          </cell>
          <cell r="D126" t="str">
            <v>-</v>
          </cell>
          <cell r="E126">
            <v>0</v>
          </cell>
          <cell r="F126" t="str">
            <v>-</v>
          </cell>
          <cell r="G126">
            <v>0</v>
          </cell>
          <cell r="H126" t="str">
            <v>-</v>
          </cell>
          <cell r="I126">
            <v>0</v>
          </cell>
          <cell r="J126" t="str">
            <v>-</v>
          </cell>
          <cell r="K126">
            <v>0</v>
          </cell>
          <cell r="L126" t="str">
            <v>-</v>
          </cell>
          <cell r="M126">
            <v>0</v>
          </cell>
          <cell r="N126" t="str">
            <v>-</v>
          </cell>
        </row>
        <row r="127">
          <cell r="B127" t="str">
            <v>Profit/ Loss Before Tax</v>
          </cell>
          <cell r="C127">
            <v>5.8312009860328459E-2</v>
          </cell>
          <cell r="D127">
            <v>166.72185000000036</v>
          </cell>
          <cell r="E127">
            <v>4.6336563273123632E-2</v>
          </cell>
          <cell r="F127">
            <v>139.34701999999925</v>
          </cell>
          <cell r="G127">
            <v>3.0299243710286462E-2</v>
          </cell>
          <cell r="H127">
            <v>137.96900000000005</v>
          </cell>
          <cell r="I127">
            <v>4.2354209110687782E-2</v>
          </cell>
          <cell r="J127">
            <v>254.10699999999997</v>
          </cell>
          <cell r="K127">
            <v>3.7347014311591438E-2</v>
          </cell>
          <cell r="L127">
            <v>227.67820000000029</v>
          </cell>
          <cell r="M127">
            <v>5.0143590775591204E-2</v>
          </cell>
          <cell r="N127">
            <v>369.27400000000034</v>
          </cell>
        </row>
        <row r="128">
          <cell r="C128">
            <v>0</v>
          </cell>
          <cell r="E128">
            <v>0</v>
          </cell>
          <cell r="G128">
            <v>0</v>
          </cell>
          <cell r="I128">
            <v>0</v>
          </cell>
          <cell r="K128">
            <v>0</v>
          </cell>
          <cell r="M128">
            <v>0</v>
          </cell>
        </row>
        <row r="129">
          <cell r="B129" t="str">
            <v>Less: Provision For  Taxation</v>
          </cell>
          <cell r="C129">
            <v>0</v>
          </cell>
          <cell r="D129">
            <v>0</v>
          </cell>
          <cell r="E129">
            <v>0</v>
          </cell>
          <cell r="F129">
            <v>0</v>
          </cell>
          <cell r="G129">
            <v>1.1046336196010759E-4</v>
          </cell>
          <cell r="H129">
            <v>0.503</v>
          </cell>
          <cell r="I129">
            <v>1.1167468863180006E-4</v>
          </cell>
          <cell r="J129">
            <v>0.67</v>
          </cell>
          <cell r="K129">
            <v>2.8295901710174778E-3</v>
          </cell>
          <cell r="L129">
            <v>17.25</v>
          </cell>
          <cell r="M129">
            <v>0</v>
          </cell>
          <cell r="N129">
            <v>0</v>
          </cell>
        </row>
        <row r="130">
          <cell r="C130">
            <v>0</v>
          </cell>
          <cell r="E130">
            <v>0</v>
          </cell>
          <cell r="G130">
            <v>0</v>
          </cell>
          <cell r="I130">
            <v>0</v>
          </cell>
          <cell r="K130">
            <v>0</v>
          </cell>
          <cell r="M130">
            <v>0</v>
          </cell>
        </row>
        <row r="131">
          <cell r="B131" t="str">
            <v xml:space="preserve"> Add:Depreciation written  OFF</v>
          </cell>
          <cell r="C131">
            <v>0</v>
          </cell>
          <cell r="D131">
            <v>0</v>
          </cell>
          <cell r="E131">
            <v>0</v>
          </cell>
          <cell r="F131">
            <v>0</v>
          </cell>
          <cell r="G131">
            <v>0</v>
          </cell>
          <cell r="H131">
            <v>0</v>
          </cell>
          <cell r="I131">
            <v>-4.1062949688552633E-2</v>
          </cell>
          <cell r="J131">
            <v>-246.36</v>
          </cell>
          <cell r="K131">
            <v>0</v>
          </cell>
          <cell r="L131">
            <v>0</v>
          </cell>
          <cell r="M131">
            <v>-3.9379001296927039E-3</v>
          </cell>
          <cell r="N131">
            <v>-29</v>
          </cell>
        </row>
        <row r="132">
          <cell r="C132">
            <v>0</v>
          </cell>
          <cell r="D132" t="str">
            <v>-</v>
          </cell>
          <cell r="E132">
            <v>0</v>
          </cell>
          <cell r="F132" t="str">
            <v>-</v>
          </cell>
          <cell r="G132">
            <v>0</v>
          </cell>
          <cell r="H132" t="str">
            <v>-</v>
          </cell>
          <cell r="I132">
            <v>0</v>
          </cell>
          <cell r="J132" t="str">
            <v>-</v>
          </cell>
          <cell r="K132">
            <v>0</v>
          </cell>
          <cell r="L132" t="str">
            <v>-</v>
          </cell>
          <cell r="M132">
            <v>0</v>
          </cell>
          <cell r="N132" t="str">
            <v>-</v>
          </cell>
        </row>
        <row r="133">
          <cell r="B133" t="str">
            <v>Profit/Loss After  Taxation</v>
          </cell>
          <cell r="C133">
            <v>5.8312009860328459E-2</v>
          </cell>
          <cell r="D133">
            <v>166.72185000000036</v>
          </cell>
          <cell r="E133">
            <v>4.6336563273123632E-2</v>
          </cell>
          <cell r="F133">
            <v>139.34701999999925</v>
          </cell>
          <cell r="G133">
            <v>3.0188780348326356E-2</v>
          </cell>
          <cell r="H133">
            <v>137.46600000000007</v>
          </cell>
          <cell r="I133">
            <v>1.1795847335033518E-3</v>
          </cell>
          <cell r="J133">
            <v>7.0769999999999698</v>
          </cell>
          <cell r="K133">
            <v>3.451742414057396E-2</v>
          </cell>
          <cell r="L133">
            <v>210.42820000000029</v>
          </cell>
          <cell r="M133">
            <v>4.6205690645898502E-2</v>
          </cell>
          <cell r="N133">
            <v>340.27400000000034</v>
          </cell>
        </row>
        <row r="134">
          <cell r="D134">
            <v>0</v>
          </cell>
          <cell r="F134">
            <v>0</v>
          </cell>
          <cell r="H134">
            <v>0</v>
          </cell>
          <cell r="I134">
            <v>0</v>
          </cell>
          <cell r="J134">
            <v>0</v>
          </cell>
          <cell r="L134">
            <v>0</v>
          </cell>
          <cell r="N134">
            <v>0</v>
          </cell>
        </row>
        <row r="135">
          <cell r="B135" t="str">
            <v xml:space="preserve">Balance  b/f from Previous Year </v>
          </cell>
          <cell r="D135">
            <v>94.43</v>
          </cell>
          <cell r="F135">
            <v>133.65185000000037</v>
          </cell>
          <cell r="H135">
            <v>218.1038699999996</v>
          </cell>
          <cell r="J135">
            <v>304.03986999999972</v>
          </cell>
          <cell r="L135">
            <v>285.98286999999971</v>
          </cell>
          <cell r="N135">
            <v>464.60106999999999</v>
          </cell>
        </row>
        <row r="136">
          <cell r="C136">
            <v>0</v>
          </cell>
          <cell r="D136" t="str">
            <v>-</v>
          </cell>
          <cell r="E136">
            <v>0</v>
          </cell>
          <cell r="F136" t="str">
            <v>-</v>
          </cell>
          <cell r="G136">
            <v>0</v>
          </cell>
          <cell r="H136" t="str">
            <v>-</v>
          </cell>
          <cell r="I136">
            <v>0</v>
          </cell>
          <cell r="J136" t="str">
            <v>-</v>
          </cell>
          <cell r="K136">
            <v>0</v>
          </cell>
          <cell r="L136" t="str">
            <v>-</v>
          </cell>
          <cell r="M136">
            <v>0</v>
          </cell>
          <cell r="N136" t="str">
            <v>-</v>
          </cell>
        </row>
        <row r="137">
          <cell r="B137" t="str">
            <v>BALANCE AVAILABLE FOR APPROPRIATION</v>
          </cell>
          <cell r="D137">
            <v>261.15185000000037</v>
          </cell>
          <cell r="F137">
            <v>272.99886999999961</v>
          </cell>
          <cell r="H137">
            <v>355.5698699999997</v>
          </cell>
          <cell r="J137">
            <v>311.11686999999972</v>
          </cell>
          <cell r="L137">
            <v>496.41107</v>
          </cell>
          <cell r="N137">
            <v>804.87507000000028</v>
          </cell>
        </row>
        <row r="138">
          <cell r="C138">
            <v>0</v>
          </cell>
          <cell r="D138" t="str">
            <v>=</v>
          </cell>
          <cell r="E138">
            <v>0</v>
          </cell>
          <cell r="F138" t="str">
            <v>=</v>
          </cell>
          <cell r="G138">
            <v>0</v>
          </cell>
          <cell r="H138" t="str">
            <v>=</v>
          </cell>
          <cell r="I138">
            <v>0</v>
          </cell>
          <cell r="J138" t="str">
            <v>=</v>
          </cell>
          <cell r="K138">
            <v>0</v>
          </cell>
          <cell r="L138" t="str">
            <v>=</v>
          </cell>
          <cell r="M138">
            <v>0</v>
          </cell>
          <cell r="N138" t="str">
            <v>=</v>
          </cell>
        </row>
        <row r="139">
          <cell r="B139" t="str">
            <v>APPROPRIATIONS</v>
          </cell>
        </row>
        <row r="141">
          <cell r="B141" t="str">
            <v>Total  Dividend</v>
          </cell>
          <cell r="C141">
            <v>0.14617924623081921</v>
          </cell>
          <cell r="D141">
            <v>43.65</v>
          </cell>
          <cell r="E141">
            <v>0.13650183343445801</v>
          </cell>
          <cell r="F141">
            <v>41.395000000000003</v>
          </cell>
          <cell r="G141">
            <v>5.1295629457035939E-2</v>
          </cell>
          <cell r="H141">
            <v>14.53</v>
          </cell>
          <cell r="I141">
            <v>0</v>
          </cell>
          <cell r="J141">
            <v>0</v>
          </cell>
          <cell r="K141">
            <v>1.2938197356967636E-2</v>
          </cell>
          <cell r="L141">
            <v>3.27</v>
          </cell>
          <cell r="M141">
            <v>0</v>
          </cell>
          <cell r="N141">
            <v>0</v>
          </cell>
        </row>
        <row r="142">
          <cell r="B142" t="str">
            <v>Interim  Dividend</v>
          </cell>
          <cell r="D142">
            <v>23.45</v>
          </cell>
          <cell r="F142">
            <v>37.635000000000005</v>
          </cell>
          <cell r="H142">
            <v>13.09</v>
          </cell>
          <cell r="J142">
            <v>0</v>
          </cell>
          <cell r="L142">
            <v>3.27</v>
          </cell>
          <cell r="N142">
            <v>0</v>
          </cell>
        </row>
        <row r="144">
          <cell r="B144" t="str">
            <v xml:space="preserve">Proposed Dividend </v>
          </cell>
          <cell r="C144">
            <v>0</v>
          </cell>
          <cell r="D144">
            <v>16.23</v>
          </cell>
          <cell r="F144">
            <v>0</v>
          </cell>
          <cell r="H144">
            <v>0</v>
          </cell>
          <cell r="J144">
            <v>0</v>
          </cell>
          <cell r="L144">
            <v>0</v>
          </cell>
          <cell r="N144">
            <v>0</v>
          </cell>
        </row>
        <row r="146">
          <cell r="B146" t="str">
            <v xml:space="preserve"> Tax  on Dividends</v>
          </cell>
          <cell r="D146">
            <v>3.9699999999999998</v>
          </cell>
          <cell r="F146">
            <v>3.76</v>
          </cell>
          <cell r="H146">
            <v>1.44</v>
          </cell>
          <cell r="J146">
            <v>0</v>
          </cell>
          <cell r="L146">
            <v>0</v>
          </cell>
          <cell r="N146">
            <v>0</v>
          </cell>
        </row>
        <row r="148">
          <cell r="B148" t="str">
            <v>Transfer to  Reserves</v>
          </cell>
          <cell r="D148">
            <v>83.85</v>
          </cell>
          <cell r="F148">
            <v>13.5</v>
          </cell>
          <cell r="H148">
            <v>37</v>
          </cell>
          <cell r="J148">
            <v>25.134</v>
          </cell>
          <cell r="L148">
            <v>28.54</v>
          </cell>
          <cell r="N148">
            <v>0</v>
          </cell>
        </row>
        <row r="150">
          <cell r="B150" t="str">
            <v>Balance Carried  to Balance Sheet</v>
          </cell>
          <cell r="D150">
            <v>133.65185000000037</v>
          </cell>
          <cell r="F150">
            <v>218.1038699999996</v>
          </cell>
          <cell r="H150">
            <v>304.03986999999972</v>
          </cell>
          <cell r="J150">
            <v>285.98286999999971</v>
          </cell>
          <cell r="L150">
            <v>464.60106999999999</v>
          </cell>
          <cell r="N150">
            <v>804.87507000000028</v>
          </cell>
        </row>
        <row r="151">
          <cell r="C151">
            <v>0</v>
          </cell>
          <cell r="D151" t="str">
            <v>-</v>
          </cell>
          <cell r="E151">
            <v>0</v>
          </cell>
          <cell r="F151" t="str">
            <v>-</v>
          </cell>
          <cell r="G151">
            <v>0</v>
          </cell>
          <cell r="H151" t="str">
            <v>-</v>
          </cell>
          <cell r="I151">
            <v>0</v>
          </cell>
          <cell r="J151" t="str">
            <v>-</v>
          </cell>
          <cell r="K151">
            <v>0</v>
          </cell>
          <cell r="L151" t="str">
            <v>-</v>
          </cell>
          <cell r="M151">
            <v>0</v>
          </cell>
          <cell r="N151" t="str">
            <v>-</v>
          </cell>
        </row>
        <row r="152">
          <cell r="D152">
            <v>261.15185000000037</v>
          </cell>
          <cell r="F152">
            <v>272.99886999999961</v>
          </cell>
          <cell r="H152">
            <v>355.5698699999997</v>
          </cell>
          <cell r="J152">
            <v>311.11686999999972</v>
          </cell>
          <cell r="L152">
            <v>496.41107</v>
          </cell>
          <cell r="N152">
            <v>804.87507000000028</v>
          </cell>
        </row>
        <row r="153">
          <cell r="C153">
            <v>0</v>
          </cell>
          <cell r="D153" t="str">
            <v>=</v>
          </cell>
          <cell r="E153">
            <v>0</v>
          </cell>
          <cell r="F153" t="str">
            <v>=</v>
          </cell>
          <cell r="G153">
            <v>0</v>
          </cell>
          <cell r="H153" t="str">
            <v>=</v>
          </cell>
          <cell r="I153">
            <v>0</v>
          </cell>
          <cell r="J153" t="str">
            <v>=</v>
          </cell>
          <cell r="K153">
            <v>0</v>
          </cell>
          <cell r="L153" t="str">
            <v>=</v>
          </cell>
          <cell r="M153">
            <v>0</v>
          </cell>
          <cell r="N153" t="str">
            <v>=</v>
          </cell>
        </row>
        <row r="176">
          <cell r="B176" t="str">
            <v>DETAILS  FOR  CALCULATING RATIOS</v>
          </cell>
        </row>
        <row r="178">
          <cell r="B178" t="str">
            <v>-</v>
          </cell>
          <cell r="C178" t="str">
            <v>-</v>
          </cell>
          <cell r="D178" t="str">
            <v>-</v>
          </cell>
          <cell r="E178" t="str">
            <v>-</v>
          </cell>
          <cell r="F178" t="str">
            <v>-</v>
          </cell>
          <cell r="G178" t="str">
            <v>-</v>
          </cell>
          <cell r="H178" t="str">
            <v>-</v>
          </cell>
        </row>
        <row r="179">
          <cell r="B179" t="str">
            <v>PARTICULARS</v>
          </cell>
          <cell r="C179" t="str">
            <v>1997-98</v>
          </cell>
          <cell r="D179" t="str">
            <v>1998-99</v>
          </cell>
          <cell r="E179" t="str">
            <v>1999-00</v>
          </cell>
          <cell r="F179" t="str">
            <v>2000-01</v>
          </cell>
          <cell r="G179" t="str">
            <v>2001-02</v>
          </cell>
          <cell r="H179" t="str">
            <v>2002-03</v>
          </cell>
        </row>
        <row r="180">
          <cell r="B180" t="str">
            <v>-</v>
          </cell>
          <cell r="C180" t="str">
            <v>-</v>
          </cell>
          <cell r="D180" t="str">
            <v>-</v>
          </cell>
          <cell r="E180" t="str">
            <v>-</v>
          </cell>
          <cell r="F180" t="str">
            <v>-</v>
          </cell>
          <cell r="G180" t="str">
            <v>-</v>
          </cell>
          <cell r="H180" t="str">
            <v>-</v>
          </cell>
        </row>
        <row r="181">
          <cell r="B181" t="str">
            <v>Total  Share  Capital</v>
          </cell>
          <cell r="C181">
            <v>298.60599999999999</v>
          </cell>
          <cell r="D181">
            <v>303.25600000000003</v>
          </cell>
          <cell r="E181">
            <v>283.26</v>
          </cell>
          <cell r="F181">
            <v>268.536</v>
          </cell>
          <cell r="G181">
            <v>252.73999999999998</v>
          </cell>
          <cell r="H181">
            <v>279.74</v>
          </cell>
        </row>
        <row r="183">
          <cell r="B183" t="str">
            <v>Total  Dividend</v>
          </cell>
          <cell r="C183">
            <v>43.65</v>
          </cell>
          <cell r="D183">
            <v>41.395000000000003</v>
          </cell>
          <cell r="E183">
            <v>14.53</v>
          </cell>
          <cell r="F183">
            <v>0</v>
          </cell>
          <cell r="G183">
            <v>3.27</v>
          </cell>
          <cell r="H183">
            <v>0</v>
          </cell>
        </row>
        <row r="185">
          <cell r="B185" t="str">
            <v>Loan  Funds</v>
          </cell>
          <cell r="C185">
            <v>786.9369999999999</v>
          </cell>
          <cell r="D185">
            <v>1132.4580000000001</v>
          </cell>
          <cell r="E185">
            <v>1317.47</v>
          </cell>
          <cell r="F185">
            <v>854.05499999999995</v>
          </cell>
          <cell r="G185">
            <v>795.697</v>
          </cell>
          <cell r="H185">
            <v>1315.8440000000001</v>
          </cell>
        </row>
        <row r="187">
          <cell r="B187" t="str">
            <v>Term  Loans</v>
          </cell>
          <cell r="C187">
            <v>433.46</v>
          </cell>
          <cell r="D187">
            <v>529.88</v>
          </cell>
          <cell r="E187">
            <v>778.13999999999987</v>
          </cell>
          <cell r="F187">
            <v>677.78</v>
          </cell>
          <cell r="G187">
            <v>672.27</v>
          </cell>
          <cell r="H187">
            <v>1017.4369999999999</v>
          </cell>
        </row>
        <row r="189">
          <cell r="B189" t="str">
            <v>Unsecured  Loan</v>
          </cell>
          <cell r="C189">
            <v>89.367000000000004</v>
          </cell>
          <cell r="D189">
            <v>310.14</v>
          </cell>
          <cell r="E189">
            <v>116.75</v>
          </cell>
          <cell r="F189">
            <v>13.775</v>
          </cell>
          <cell r="G189">
            <v>17.29</v>
          </cell>
          <cell r="H189">
            <v>98.785000000000011</v>
          </cell>
        </row>
        <row r="191">
          <cell r="B191" t="str">
            <v>Working  Capital  Loan</v>
          </cell>
          <cell r="C191">
            <v>264.11</v>
          </cell>
          <cell r="D191">
            <v>292.44</v>
          </cell>
          <cell r="E191">
            <v>422.58000000000004</v>
          </cell>
          <cell r="F191">
            <v>162.5</v>
          </cell>
          <cell r="G191">
            <v>106.137</v>
          </cell>
          <cell r="H191">
            <v>197.20699999999999</v>
          </cell>
        </row>
        <row r="193">
          <cell r="B193" t="str">
            <v>Debt</v>
          </cell>
          <cell r="C193">
            <v>433.45999999999992</v>
          </cell>
          <cell r="D193">
            <v>529.87800000000016</v>
          </cell>
          <cell r="E193">
            <v>778.14</v>
          </cell>
          <cell r="F193">
            <v>677.78</v>
          </cell>
          <cell r="G193">
            <v>672.27</v>
          </cell>
          <cell r="H193">
            <v>1019.852</v>
          </cell>
        </row>
        <row r="195">
          <cell r="B195" t="str">
            <v>Current  Assets:</v>
          </cell>
        </row>
        <row r="197">
          <cell r="B197" t="str">
            <v>a. Inventories</v>
          </cell>
          <cell r="C197">
            <v>104.86</v>
          </cell>
          <cell r="D197">
            <v>129.08699999999999</v>
          </cell>
          <cell r="E197">
            <v>155.76</v>
          </cell>
          <cell r="F197">
            <v>228.06</v>
          </cell>
          <cell r="G197">
            <v>275.24300000000005</v>
          </cell>
          <cell r="H197">
            <v>405.64699999999999</v>
          </cell>
        </row>
        <row r="199">
          <cell r="B199" t="str">
            <v>b. Sundry  Debtors</v>
          </cell>
          <cell r="C199">
            <v>104.93</v>
          </cell>
          <cell r="D199">
            <v>79.63</v>
          </cell>
          <cell r="E199">
            <v>189.62</v>
          </cell>
          <cell r="F199">
            <v>198.18</v>
          </cell>
          <cell r="G199">
            <v>214.24799999999999</v>
          </cell>
          <cell r="H199">
            <v>146.32</v>
          </cell>
        </row>
        <row r="201">
          <cell r="B201" t="str">
            <v>c.  Cash &amp; Bank Balances</v>
          </cell>
          <cell r="C201">
            <v>25.63</v>
          </cell>
          <cell r="D201">
            <v>37.878</v>
          </cell>
          <cell r="E201">
            <v>29.16</v>
          </cell>
          <cell r="F201">
            <v>38.74</v>
          </cell>
          <cell r="G201">
            <v>3.2490000000000001</v>
          </cell>
          <cell r="H201">
            <v>4.3639999999999999</v>
          </cell>
        </row>
        <row r="203">
          <cell r="B203" t="str">
            <v>d.  Loans &amp;  Advances</v>
          </cell>
          <cell r="C203">
            <v>126.03399999999999</v>
          </cell>
          <cell r="D203">
            <v>335.98800000000006</v>
          </cell>
          <cell r="E203">
            <v>485.39</v>
          </cell>
          <cell r="F203">
            <v>73.804999999999993</v>
          </cell>
          <cell r="G203">
            <v>145.55700000000002</v>
          </cell>
          <cell r="H203">
            <v>136.51299999999998</v>
          </cell>
        </row>
        <row r="205">
          <cell r="B205" t="str">
            <v>e.  Deposits</v>
          </cell>
          <cell r="C205">
            <v>58.286000000000001</v>
          </cell>
          <cell r="D205">
            <v>34.449999999999996</v>
          </cell>
          <cell r="E205">
            <v>8.4699999999999989</v>
          </cell>
          <cell r="F205">
            <v>8.4849999999999994</v>
          </cell>
          <cell r="G205">
            <v>8.69</v>
          </cell>
          <cell r="H205">
            <v>114.32000000000001</v>
          </cell>
        </row>
        <row r="207">
          <cell r="B207" t="str">
            <v>f. Trade  Investments</v>
          </cell>
          <cell r="C207">
            <v>29.998999999999999</v>
          </cell>
          <cell r="D207">
            <v>58.198999999999998</v>
          </cell>
          <cell r="E207">
            <v>58.198999999999998</v>
          </cell>
          <cell r="F207">
            <v>58.198999999999998</v>
          </cell>
          <cell r="G207">
            <v>58.198999999999998</v>
          </cell>
          <cell r="H207">
            <v>178.19900000000001</v>
          </cell>
        </row>
        <row r="208">
          <cell r="C208" t="str">
            <v>-</v>
          </cell>
          <cell r="D208" t="str">
            <v>-</v>
          </cell>
          <cell r="E208" t="str">
            <v>-</v>
          </cell>
          <cell r="F208" t="str">
            <v>-</v>
          </cell>
          <cell r="G208" t="str">
            <v>-</v>
          </cell>
          <cell r="H208" t="str">
            <v>-</v>
          </cell>
        </row>
        <row r="209">
          <cell r="B209" t="str">
            <v xml:space="preserve">         Total Current  Assets</v>
          </cell>
          <cell r="C209">
            <v>449.73900000000003</v>
          </cell>
          <cell r="D209">
            <v>675.23200000000008</v>
          </cell>
          <cell r="E209">
            <v>926.59900000000005</v>
          </cell>
          <cell r="F209">
            <v>605.46899999999994</v>
          </cell>
          <cell r="G209">
            <v>705.18600000000004</v>
          </cell>
          <cell r="H209">
            <v>985.36300000000006</v>
          </cell>
        </row>
        <row r="211">
          <cell r="B211" t="str">
            <v>Current Liabilities</v>
          </cell>
          <cell r="C211">
            <v>71.275000000000006</v>
          </cell>
          <cell r="D211">
            <v>131.01</v>
          </cell>
          <cell r="E211">
            <v>126.38999999999999</v>
          </cell>
          <cell r="F211">
            <v>100.91</v>
          </cell>
          <cell r="G211">
            <v>163.93899999999999</v>
          </cell>
          <cell r="H211">
            <v>123.041</v>
          </cell>
        </row>
        <row r="212">
          <cell r="C212" t="str">
            <v>-</v>
          </cell>
          <cell r="D212" t="str">
            <v>-</v>
          </cell>
          <cell r="E212" t="str">
            <v>-</v>
          </cell>
          <cell r="F212" t="str">
            <v>-</v>
          </cell>
          <cell r="G212" t="str">
            <v>-</v>
          </cell>
          <cell r="H212" t="str">
            <v>-</v>
          </cell>
        </row>
        <row r="213">
          <cell r="B213" t="str">
            <v xml:space="preserve">         Total  Current Liabilities</v>
          </cell>
          <cell r="C213">
            <v>319.15499999999997</v>
          </cell>
          <cell r="D213">
            <v>423.45</v>
          </cell>
          <cell r="E213">
            <v>548.97</v>
          </cell>
          <cell r="F213">
            <v>263.40999999999997</v>
          </cell>
          <cell r="G213">
            <v>270.07600000000002</v>
          </cell>
          <cell r="H213">
            <v>320.24799999999999</v>
          </cell>
        </row>
        <row r="214">
          <cell r="C214" t="str">
            <v>-</v>
          </cell>
          <cell r="D214" t="str">
            <v>-</v>
          </cell>
          <cell r="E214" t="str">
            <v>-</v>
          </cell>
          <cell r="F214" t="str">
            <v>-</v>
          </cell>
          <cell r="G214" t="str">
            <v>-</v>
          </cell>
          <cell r="H214" t="str">
            <v>-</v>
          </cell>
        </row>
        <row r="215">
          <cell r="B215" t="str">
            <v xml:space="preserve">Working  Capital  </v>
          </cell>
          <cell r="C215">
            <v>130.58400000000006</v>
          </cell>
          <cell r="D215">
            <v>251.7820000000001</v>
          </cell>
          <cell r="E215">
            <v>377.62900000000002</v>
          </cell>
          <cell r="F215">
            <v>342.05899999999997</v>
          </cell>
          <cell r="G215">
            <v>435.11</v>
          </cell>
          <cell r="H215">
            <v>665.11500000000001</v>
          </cell>
        </row>
        <row r="217">
          <cell r="B217" t="str">
            <v>L.T. Funds</v>
          </cell>
          <cell r="C217">
            <v>1057.8789999999999</v>
          </cell>
          <cell r="D217">
            <v>1585.7090000000001</v>
          </cell>
          <cell r="E217">
            <v>1707.9940000000001</v>
          </cell>
          <cell r="F217">
            <v>1404.895</v>
          </cell>
          <cell r="G217">
            <v>1531.6320000000001</v>
          </cell>
          <cell r="H217">
            <v>2710.9780000000001</v>
          </cell>
        </row>
        <row r="219">
          <cell r="B219" t="str">
            <v>Turnover</v>
          </cell>
          <cell r="C219">
            <v>2849.6959999999999</v>
          </cell>
          <cell r="D219">
            <v>2975.21</v>
          </cell>
          <cell r="E219">
            <v>4497.33</v>
          </cell>
          <cell r="F219">
            <v>5949.45</v>
          </cell>
          <cell r="G219">
            <v>6130.15</v>
          </cell>
          <cell r="H219">
            <v>7121.7079999999996</v>
          </cell>
        </row>
        <row r="221">
          <cell r="B221" t="str">
            <v>Gross  Profit</v>
          </cell>
          <cell r="C221">
            <v>487.50984999999991</v>
          </cell>
          <cell r="D221">
            <v>573.83701999999982</v>
          </cell>
          <cell r="E221">
            <v>662.39400000000012</v>
          </cell>
          <cell r="F221">
            <v>879.17</v>
          </cell>
          <cell r="G221">
            <v>985.3131999999996</v>
          </cell>
          <cell r="H221">
            <v>980.15699999999981</v>
          </cell>
        </row>
        <row r="223">
          <cell r="B223" t="str">
            <v>Net Profit for the Year</v>
          </cell>
          <cell r="C223">
            <v>166.72185000000036</v>
          </cell>
          <cell r="D223">
            <v>139.34701999999925</v>
          </cell>
          <cell r="E223">
            <v>137.96900000000005</v>
          </cell>
          <cell r="F223">
            <v>254.10699999999997</v>
          </cell>
          <cell r="G223">
            <v>227.67820000000029</v>
          </cell>
          <cell r="H223">
            <v>369.27400000000034</v>
          </cell>
        </row>
        <row r="225">
          <cell r="B225" t="str">
            <v>Interest  &amp;  Finance  Charges</v>
          </cell>
          <cell r="C225">
            <v>109.2</v>
          </cell>
          <cell r="D225">
            <v>118.92</v>
          </cell>
          <cell r="E225">
            <v>171.28399999999999</v>
          </cell>
          <cell r="F225">
            <v>162.24299999999999</v>
          </cell>
          <cell r="G225">
            <v>106.84</v>
          </cell>
          <cell r="H225">
            <v>104.47800000000001</v>
          </cell>
        </row>
        <row r="227">
          <cell r="B227" t="str">
            <v>PBIT</v>
          </cell>
          <cell r="C227">
            <v>275.92185000000035</v>
          </cell>
          <cell r="D227">
            <v>258.26701999999926</v>
          </cell>
          <cell r="E227">
            <v>309.25300000000004</v>
          </cell>
          <cell r="F227">
            <v>416.34999999999997</v>
          </cell>
          <cell r="G227">
            <v>334.51820000000032</v>
          </cell>
          <cell r="H227">
            <v>473.75200000000035</v>
          </cell>
        </row>
        <row r="229">
          <cell r="B229" t="str">
            <v xml:space="preserve">F.G.Inventory </v>
          </cell>
          <cell r="C229">
            <v>0</v>
          </cell>
          <cell r="D229">
            <v>0</v>
          </cell>
          <cell r="E229">
            <v>0</v>
          </cell>
          <cell r="F229">
            <v>0</v>
          </cell>
          <cell r="G229">
            <v>0</v>
          </cell>
          <cell r="H229">
            <v>0</v>
          </cell>
        </row>
        <row r="231">
          <cell r="B231" t="str">
            <v>R.M.Inventory</v>
          </cell>
          <cell r="C231">
            <v>0</v>
          </cell>
          <cell r="D231">
            <v>0</v>
          </cell>
          <cell r="E231">
            <v>0</v>
          </cell>
          <cell r="F231">
            <v>0</v>
          </cell>
          <cell r="G231">
            <v>0</v>
          </cell>
          <cell r="H231">
            <v>0</v>
          </cell>
        </row>
        <row r="232">
          <cell r="B232" t="str">
            <v>=</v>
          </cell>
          <cell r="C232" t="str">
            <v>=</v>
          </cell>
          <cell r="D232" t="str">
            <v>=</v>
          </cell>
          <cell r="E232" t="str">
            <v>=</v>
          </cell>
          <cell r="F232" t="str">
            <v>=</v>
          </cell>
          <cell r="G232" t="str">
            <v>=</v>
          </cell>
          <cell r="H232" t="str">
            <v>=</v>
          </cell>
        </row>
        <row r="236">
          <cell r="B236" t="str">
            <v>CALCULATION  OF  VARIOUS  RATIOS</v>
          </cell>
        </row>
        <row r="237">
          <cell r="H237" t="str">
            <v>(RS.IN LACS)</v>
          </cell>
        </row>
        <row r="238">
          <cell r="B238" t="str">
            <v>-</v>
          </cell>
          <cell r="C238" t="str">
            <v>-</v>
          </cell>
          <cell r="D238" t="str">
            <v>-</v>
          </cell>
          <cell r="E238" t="str">
            <v>-</v>
          </cell>
          <cell r="F238" t="str">
            <v>-</v>
          </cell>
          <cell r="G238" t="str">
            <v>-</v>
          </cell>
          <cell r="H238" t="str">
            <v>-</v>
          </cell>
        </row>
        <row r="239">
          <cell r="B239" t="str">
            <v>PARTICULARS</v>
          </cell>
          <cell r="C239" t="str">
            <v>1997-98</v>
          </cell>
          <cell r="D239" t="str">
            <v>1998-99</v>
          </cell>
          <cell r="E239" t="str">
            <v>1999-00</v>
          </cell>
          <cell r="F239" t="str">
            <v>2000-01</v>
          </cell>
          <cell r="G239" t="str">
            <v>2001-02</v>
          </cell>
          <cell r="H239" t="str">
            <v>2002-03</v>
          </cell>
        </row>
        <row r="240">
          <cell r="B240" t="str">
            <v>-</v>
          </cell>
          <cell r="C240" t="str">
            <v>-</v>
          </cell>
          <cell r="D240" t="str">
            <v>-</v>
          </cell>
          <cell r="E240" t="str">
            <v>-</v>
          </cell>
          <cell r="F240" t="str">
            <v>-</v>
          </cell>
          <cell r="G240" t="str">
            <v>-</v>
          </cell>
          <cell r="H240" t="str">
            <v>-</v>
          </cell>
        </row>
        <row r="241">
          <cell r="B241" t="str">
            <v>NET PROFIT AFTER TAX</v>
          </cell>
          <cell r="C241">
            <v>166.72185000000036</v>
          </cell>
          <cell r="D241">
            <v>139.34701999999925</v>
          </cell>
          <cell r="E241">
            <v>137.46600000000007</v>
          </cell>
          <cell r="F241">
            <v>7.0769999999999698</v>
          </cell>
          <cell r="G241">
            <v>210.42820000000029</v>
          </cell>
          <cell r="H241">
            <v>340.27400000000034</v>
          </cell>
        </row>
        <row r="243">
          <cell r="B243" t="str">
            <v>CASH PROFIT</v>
          </cell>
          <cell r="C243">
            <v>210.75885000000036</v>
          </cell>
          <cell r="D243">
            <v>194.32201999999924</v>
          </cell>
          <cell r="E243">
            <v>210.03300000000007</v>
          </cell>
          <cell r="F243">
            <v>155.43999999999997</v>
          </cell>
          <cell r="G243">
            <v>463.07320000000027</v>
          </cell>
          <cell r="H243">
            <v>475.27400000000034</v>
          </cell>
        </row>
        <row r="245">
          <cell r="B245" t="str">
            <v>CASH PROFIT RATIO</v>
          </cell>
          <cell r="C245">
            <v>7.3714226055861793</v>
          </cell>
          <cell r="D245">
            <v>6.4617202255858857</v>
          </cell>
          <cell r="E245">
            <v>4.6125151694964783</v>
          </cell>
          <cell r="F245">
            <v>2.5908527762577607</v>
          </cell>
          <cell r="G245">
            <v>7.5959847836615157</v>
          </cell>
          <cell r="H245">
            <v>6.4537294697916261</v>
          </cell>
        </row>
        <row r="247">
          <cell r="B247" t="str">
            <v>EQUITY SHARE CAPITAL</v>
          </cell>
          <cell r="C247">
            <v>261.77600000000001</v>
          </cell>
          <cell r="D247">
            <v>261.77600000000001</v>
          </cell>
          <cell r="E247">
            <v>261.77999999999997</v>
          </cell>
          <cell r="F247">
            <v>249.55600000000001</v>
          </cell>
          <cell r="G247">
            <v>245.98399999999998</v>
          </cell>
          <cell r="H247">
            <v>245.98400000000001</v>
          </cell>
        </row>
        <row r="249">
          <cell r="B249" t="str">
            <v>PREFERENCE SHARE CAPITAL</v>
          </cell>
          <cell r="C249">
            <v>36.83</v>
          </cell>
          <cell r="D249">
            <v>41.48</v>
          </cell>
          <cell r="E249">
            <v>21.48</v>
          </cell>
          <cell r="F249">
            <v>18.98</v>
          </cell>
          <cell r="G249">
            <v>6.7560000000000002</v>
          </cell>
          <cell r="H249">
            <v>33.756</v>
          </cell>
        </row>
        <row r="251">
          <cell r="B251" t="str">
            <v>RESERVES &amp; SURPLUS</v>
          </cell>
          <cell r="C251">
            <v>240.446</v>
          </cell>
          <cell r="D251">
            <v>445.875</v>
          </cell>
          <cell r="E251">
            <v>532.72</v>
          </cell>
          <cell r="F251">
            <v>447.12</v>
          </cell>
          <cell r="G251">
            <v>591.08699999999999</v>
          </cell>
          <cell r="H251">
            <v>1314.356</v>
          </cell>
        </row>
        <row r="253">
          <cell r="B253" t="str">
            <v>NET  WORTH</v>
          </cell>
          <cell r="C253">
            <v>535.05200000000002</v>
          </cell>
          <cell r="D253">
            <v>745.69100000000003</v>
          </cell>
          <cell r="E253">
            <v>813.10400000000004</v>
          </cell>
          <cell r="F253">
            <v>713.33999999999992</v>
          </cell>
          <cell r="G253">
            <v>842.072</v>
          </cell>
          <cell r="H253">
            <v>1592.3409999999999</v>
          </cell>
        </row>
        <row r="255">
          <cell r="B255" t="str">
            <v>UNSECURED  LOAN</v>
          </cell>
          <cell r="C255">
            <v>89.367000000000004</v>
          </cell>
          <cell r="D255">
            <v>310.14</v>
          </cell>
          <cell r="E255">
            <v>116.75</v>
          </cell>
          <cell r="F255">
            <v>13.775</v>
          </cell>
          <cell r="G255">
            <v>17.29</v>
          </cell>
          <cell r="H255">
            <v>98.785000000000011</v>
          </cell>
        </row>
        <row r="257">
          <cell r="B257" t="str">
            <v>TERM LOANS</v>
          </cell>
          <cell r="C257">
            <v>433.46</v>
          </cell>
          <cell r="D257">
            <v>529.88</v>
          </cell>
          <cell r="E257">
            <v>778.13999999999987</v>
          </cell>
          <cell r="F257">
            <v>677.78</v>
          </cell>
          <cell r="G257">
            <v>672.27</v>
          </cell>
          <cell r="H257">
            <v>1017.4369999999999</v>
          </cell>
        </row>
        <row r="259">
          <cell r="B259" t="str">
            <v>EQUITY SHARES OF Rs.10 EACH</v>
          </cell>
          <cell r="C259">
            <v>2617760</v>
          </cell>
          <cell r="D259">
            <v>2617760</v>
          </cell>
          <cell r="E259">
            <v>2617799.9999999995</v>
          </cell>
          <cell r="F259">
            <v>2495560</v>
          </cell>
          <cell r="G259">
            <v>2459839.9999999995</v>
          </cell>
          <cell r="H259">
            <v>2459840</v>
          </cell>
        </row>
        <row r="261">
          <cell r="B261" t="str">
            <v>EPS</v>
          </cell>
          <cell r="C261">
            <v>6.3688745339527069</v>
          </cell>
          <cell r="D261">
            <v>5.3231396308293828</v>
          </cell>
          <cell r="E261">
            <v>5.2512033004813237</v>
          </cell>
          <cell r="F261">
            <v>0.28358364455272439</v>
          </cell>
          <cell r="G261">
            <v>8.554548263301692</v>
          </cell>
          <cell r="H261">
            <v>13.833176141537674</v>
          </cell>
        </row>
        <row r="263">
          <cell r="B263" t="str">
            <v>CASH  EPS</v>
          </cell>
          <cell r="C263">
            <v>8.0511143114724177</v>
          </cell>
          <cell r="D263">
            <v>7.4232175600513122</v>
          </cell>
          <cell r="E263">
            <v>8.0232638093055275</v>
          </cell>
          <cell r="F263">
            <v>6.2286621038965189</v>
          </cell>
          <cell r="G263">
            <v>18.82533823338105</v>
          </cell>
          <cell r="H263">
            <v>19.321337973201523</v>
          </cell>
        </row>
        <row r="265">
          <cell r="B265" t="str">
            <v>DIVIDEND %</v>
          </cell>
          <cell r="C265">
            <v>0.14617924623081921</v>
          </cell>
          <cell r="D265">
            <v>0.13650183343445801</v>
          </cell>
          <cell r="E265">
            <v>5.1295629457035939E-2</v>
          </cell>
          <cell r="F265">
            <v>0</v>
          </cell>
          <cell r="G265">
            <v>1.2938197356967636E-2</v>
          </cell>
          <cell r="H265">
            <v>0</v>
          </cell>
        </row>
        <row r="267">
          <cell r="B267" t="str">
            <v>NET  WORTH</v>
          </cell>
          <cell r="C267">
            <v>535.05200000000002</v>
          </cell>
          <cell r="D267">
            <v>745.69100000000003</v>
          </cell>
          <cell r="E267">
            <v>813.10400000000004</v>
          </cell>
          <cell r="F267">
            <v>713.33999999999992</v>
          </cell>
          <cell r="G267">
            <v>842.072</v>
          </cell>
          <cell r="H267">
            <v>1592.3409999999999</v>
          </cell>
        </row>
        <row r="269">
          <cell r="B269" t="str">
            <v>BOOK VALUE PER SHARE</v>
          </cell>
          <cell r="C269">
            <v>20.439306888332009</v>
          </cell>
          <cell r="D269">
            <v>28.485842858016017</v>
          </cell>
          <cell r="E269">
            <v>31.060585224234096</v>
          </cell>
          <cell r="F269">
            <v>28.584365833720682</v>
          </cell>
          <cell r="G269">
            <v>34.232795628984</v>
          </cell>
          <cell r="H269">
            <v>64.733519253284754</v>
          </cell>
        </row>
        <row r="271">
          <cell r="B271" t="str">
            <v>DEBT -EQUITY RATIO</v>
          </cell>
          <cell r="C271">
            <v>0.69418131094665592</v>
          </cell>
          <cell r="D271">
            <v>0.50185872549678889</v>
          </cell>
          <cell r="E271">
            <v>0.83684105246630114</v>
          </cell>
          <cell r="F271">
            <v>0.93214965995750343</v>
          </cell>
          <cell r="G271">
            <v>0.78228965209073709</v>
          </cell>
          <cell r="H271">
            <v>0.60306091917456184</v>
          </cell>
        </row>
        <row r="273">
          <cell r="B273" t="str">
            <v>CURRENT  RATIO</v>
          </cell>
          <cell r="C273">
            <v>1.4091554260469052</v>
          </cell>
          <cell r="D273">
            <v>1.5945967646711539</v>
          </cell>
          <cell r="E273">
            <v>1.6878864054502067</v>
          </cell>
          <cell r="F273">
            <v>2.2985801602065221</v>
          </cell>
          <cell r="G273">
            <v>2.611065033546113</v>
          </cell>
          <cell r="H273">
            <v>3.0768747970323003</v>
          </cell>
        </row>
        <row r="275">
          <cell r="B275" t="str">
            <v>LIQUID  RATIO</v>
          </cell>
          <cell r="C275">
            <v>1.0806003352602969</v>
          </cell>
          <cell r="D275">
            <v>1.28975085606329</v>
          </cell>
          <cell r="E275">
            <v>1.4041550540102374</v>
          </cell>
          <cell r="F275">
            <v>1.432781595231768</v>
          </cell>
          <cell r="G275">
            <v>1.5919333817147765</v>
          </cell>
          <cell r="H275">
            <v>1.810209587569634</v>
          </cell>
        </row>
        <row r="276">
          <cell r="B276" t="str">
            <v>=</v>
          </cell>
          <cell r="C276" t="str">
            <v>=</v>
          </cell>
          <cell r="D276" t="str">
            <v>=</v>
          </cell>
          <cell r="E276" t="str">
            <v>=</v>
          </cell>
          <cell r="F276" t="str">
            <v>=</v>
          </cell>
          <cell r="G276" t="str">
            <v>=</v>
          </cell>
          <cell r="H276" t="str">
            <v>=</v>
          </cell>
        </row>
        <row r="278">
          <cell r="H278" t="str">
            <v>(RS.IN LACS)</v>
          </cell>
        </row>
        <row r="279">
          <cell r="B279" t="str">
            <v>-</v>
          </cell>
          <cell r="C279" t="str">
            <v>-</v>
          </cell>
          <cell r="D279" t="str">
            <v>-</v>
          </cell>
          <cell r="E279" t="str">
            <v>-</v>
          </cell>
          <cell r="F279" t="str">
            <v>-</v>
          </cell>
          <cell r="G279" t="str">
            <v>-</v>
          </cell>
          <cell r="H279" t="str">
            <v>-</v>
          </cell>
        </row>
        <row r="280">
          <cell r="B280" t="str">
            <v>PARTICULARS</v>
          </cell>
          <cell r="C280" t="str">
            <v>1997-98</v>
          </cell>
          <cell r="D280" t="str">
            <v>1998-99</v>
          </cell>
          <cell r="E280" t="str">
            <v>1999-00</v>
          </cell>
          <cell r="F280" t="str">
            <v>2000-01</v>
          </cell>
          <cell r="G280" t="str">
            <v>2001-02</v>
          </cell>
          <cell r="H280" t="str">
            <v>2002-03</v>
          </cell>
        </row>
        <row r="281">
          <cell r="B281" t="str">
            <v>-</v>
          </cell>
          <cell r="C281" t="str">
            <v>-</v>
          </cell>
          <cell r="D281" t="str">
            <v>-</v>
          </cell>
          <cell r="E281" t="str">
            <v>-</v>
          </cell>
          <cell r="F281" t="str">
            <v>-</v>
          </cell>
          <cell r="G281" t="str">
            <v>-</v>
          </cell>
          <cell r="H281" t="str">
            <v>-</v>
          </cell>
        </row>
        <row r="282">
          <cell r="B282" t="str">
            <v>FIXED  ASSETS/ L.T.FUNDS</v>
          </cell>
          <cell r="C282">
            <v>0.82795858505556896</v>
          </cell>
          <cell r="D282">
            <v>0.81305586333936419</v>
          </cell>
          <cell r="E282">
            <v>0.81468670264649634</v>
          </cell>
          <cell r="F282">
            <v>0.73817545083440417</v>
          </cell>
          <cell r="G282">
            <v>0.74205553292174609</v>
          </cell>
          <cell r="H282">
            <v>0.59947148224736602</v>
          </cell>
        </row>
        <row r="284">
          <cell r="B284" t="str">
            <v>RETURN  ON NET  WORTH</v>
          </cell>
          <cell r="D284">
            <v>0.21760340677247386</v>
          </cell>
          <cell r="E284">
            <v>0.17637469968790001</v>
          </cell>
          <cell r="F284">
            <v>9.2725314521855638E-3</v>
          </cell>
          <cell r="G284">
            <v>0.27057551311163897</v>
          </cell>
          <cell r="H284">
            <v>0.27955322289192536</v>
          </cell>
        </row>
        <row r="286">
          <cell r="B286" t="str">
            <v>RETURN ON  CAPITAL</v>
          </cell>
          <cell r="C286">
            <v>0.55833389148242285</v>
          </cell>
          <cell r="D286">
            <v>0.45950292821905991</v>
          </cell>
          <cell r="E286">
            <v>0.48529972463461157</v>
          </cell>
          <cell r="F286">
            <v>2.6354008401108117E-2</v>
          </cell>
          <cell r="G286">
            <v>0.83258763947139469</v>
          </cell>
          <cell r="H286">
            <v>1.2163937942375074</v>
          </cell>
        </row>
        <row r="288">
          <cell r="B288" t="str">
            <v>GROSS  PROFIT  RATIO</v>
          </cell>
          <cell r="C288">
            <v>0.17107433564843405</v>
          </cell>
          <cell r="D288">
            <v>0.19287277872822417</v>
          </cell>
          <cell r="E288">
            <v>0.14728605639346015</v>
          </cell>
          <cell r="F288">
            <v>0.14777332358453302</v>
          </cell>
          <cell r="G288">
            <v>0.16073231486994602</v>
          </cell>
          <cell r="H288">
            <v>0.13762948438773392</v>
          </cell>
        </row>
        <row r="290">
          <cell r="B290" t="str">
            <v>NET  PROFIT  RATIO</v>
          </cell>
          <cell r="C290">
            <v>5.8505135284605922E-2</v>
          </cell>
          <cell r="D290">
            <v>4.6836028381189644E-2</v>
          </cell>
          <cell r="E290">
            <v>3.0566135907305017E-2</v>
          </cell>
          <cell r="F290">
            <v>1.1895217204951668E-3</v>
          </cell>
          <cell r="G290">
            <v>3.432676198787963E-2</v>
          </cell>
          <cell r="H290">
            <v>4.7779830344069199E-2</v>
          </cell>
        </row>
        <row r="292">
          <cell r="B292" t="str">
            <v>CAPITAL  TURNOVER RATIO</v>
          </cell>
          <cell r="C292">
            <v>9.543331346322578</v>
          </cell>
          <cell r="D292">
            <v>9.8108858522172682</v>
          </cell>
          <cell r="E292">
            <v>15.877038762973946</v>
          </cell>
          <cell r="F292">
            <v>22.155130038430602</v>
          </cell>
          <cell r="G292">
            <v>24.25476774550922</v>
          </cell>
          <cell r="H292">
            <v>25.458311289054119</v>
          </cell>
        </row>
        <row r="294">
          <cell r="B294" t="str">
            <v>WORKING  CAP.  TURNOVER</v>
          </cell>
          <cell r="C294">
            <v>21.822704159774542</v>
          </cell>
          <cell r="D294">
            <v>11.81661119539919</v>
          </cell>
          <cell r="E294">
            <v>11.909387255745719</v>
          </cell>
          <cell r="F294">
            <v>17.393052075811482</v>
          </cell>
          <cell r="G294">
            <v>14.088736181655213</v>
          </cell>
          <cell r="H294">
            <v>10.707483668237822</v>
          </cell>
        </row>
        <row r="296">
          <cell r="B296" t="str">
            <v>ASSET COVERAGE RATIO</v>
          </cell>
          <cell r="C296">
            <v>2.0206708808194533</v>
          </cell>
          <cell r="D296">
            <v>2.4331358043330567</v>
          </cell>
          <cell r="E296">
            <v>1.7882129179839106</v>
          </cell>
          <cell r="F296">
            <v>1.5300820325179265</v>
          </cell>
          <cell r="G296">
            <v>1.6906243027355079</v>
          </cell>
          <cell r="H296">
            <v>1.5973018476819694</v>
          </cell>
        </row>
        <row r="298">
          <cell r="B298" t="str">
            <v>INT./PBIT (%)</v>
          </cell>
          <cell r="C298">
            <v>0.39576423541665823</v>
          </cell>
          <cell r="D298">
            <v>0.46045368084550764</v>
          </cell>
          <cell r="E298">
            <v>0.55386366502507645</v>
          </cell>
          <cell r="F298">
            <v>0.3896793563107962</v>
          </cell>
          <cell r="G298">
            <v>0.31938471509173461</v>
          </cell>
          <cell r="H298">
            <v>0.22053310592884026</v>
          </cell>
        </row>
        <row r="299">
          <cell r="B299" t="str">
            <v>=</v>
          </cell>
          <cell r="C299" t="str">
            <v>=</v>
          </cell>
          <cell r="D299" t="str">
            <v>=</v>
          </cell>
          <cell r="E299" t="str">
            <v>=</v>
          </cell>
          <cell r="F299" t="str">
            <v>=</v>
          </cell>
          <cell r="G299" t="str">
            <v>=</v>
          </cell>
          <cell r="H299" t="str">
            <v>=</v>
          </cell>
        </row>
        <row r="330">
          <cell r="B330" t="str">
            <v>-</v>
          </cell>
          <cell r="C330" t="str">
            <v>-</v>
          </cell>
          <cell r="D330" t="str">
            <v>-</v>
          </cell>
          <cell r="E330" t="str">
            <v>-</v>
          </cell>
          <cell r="F330" t="str">
            <v>-</v>
          </cell>
          <cell r="G330" t="str">
            <v>-</v>
          </cell>
          <cell r="H330" t="str">
            <v>-</v>
          </cell>
        </row>
        <row r="331">
          <cell r="B331" t="str">
            <v>PARTICULARS</v>
          </cell>
          <cell r="C331" t="str">
            <v>1997-98</v>
          </cell>
          <cell r="D331" t="str">
            <v>1998-99</v>
          </cell>
          <cell r="E331" t="str">
            <v>1999-00</v>
          </cell>
          <cell r="F331" t="str">
            <v>2000-01</v>
          </cell>
          <cell r="G331" t="str">
            <v>2001-02</v>
          </cell>
          <cell r="H331" t="str">
            <v>2002-03</v>
          </cell>
        </row>
        <row r="332">
          <cell r="B332" t="str">
            <v>-</v>
          </cell>
          <cell r="C332" t="str">
            <v>-</v>
          </cell>
          <cell r="D332" t="str">
            <v>-</v>
          </cell>
          <cell r="E332" t="str">
            <v>-</v>
          </cell>
          <cell r="F332" t="str">
            <v>-</v>
          </cell>
          <cell r="G332" t="str">
            <v>-</v>
          </cell>
          <cell r="H332" t="str">
            <v>-</v>
          </cell>
        </row>
        <row r="333">
          <cell r="B333" t="str">
            <v>GROSS REVENUE</v>
          </cell>
          <cell r="C333">
            <v>2859.134</v>
          </cell>
          <cell r="D333">
            <v>3007.28</v>
          </cell>
          <cell r="E333">
            <v>4553.5459999999994</v>
          </cell>
          <cell r="F333">
            <v>5999.5689999999995</v>
          </cell>
          <cell r="G333">
            <v>6096.2891999999993</v>
          </cell>
          <cell r="H333">
            <v>7364.3310000000001</v>
          </cell>
        </row>
        <row r="335">
          <cell r="B335" t="str">
            <v>GROWTH IN QUANTITY</v>
          </cell>
        </row>
        <row r="336">
          <cell r="B336" t="str">
            <v>GROWTH   IN  %</v>
          </cell>
          <cell r="C336" t="e">
            <v>#REF!</v>
          </cell>
          <cell r="D336">
            <v>5.1814990133376114E-2</v>
          </cell>
          <cell r="E336">
            <v>0.51417427043707242</v>
          </cell>
          <cell r="F336">
            <v>0.31755976551022003</v>
          </cell>
          <cell r="G336">
            <v>1.6121191372246865E-2</v>
          </cell>
          <cell r="H336">
            <v>0.20800223847648189</v>
          </cell>
        </row>
        <row r="338">
          <cell r="B338" t="str">
            <v>PROFIT BEFORE TAX</v>
          </cell>
          <cell r="C338">
            <v>166.72185000000036</v>
          </cell>
          <cell r="D338">
            <v>139.34701999999925</v>
          </cell>
          <cell r="E338">
            <v>137.96900000000005</v>
          </cell>
          <cell r="F338">
            <v>254.10699999999997</v>
          </cell>
          <cell r="G338">
            <v>227.67820000000029</v>
          </cell>
          <cell r="H338">
            <v>369.27400000000034</v>
          </cell>
        </row>
        <row r="340">
          <cell r="B340" t="str">
            <v>GROWTH   IN  %</v>
          </cell>
          <cell r="D340">
            <v>-0.16419461516292588</v>
          </cell>
          <cell r="E340">
            <v>-9.889124288407488E-3</v>
          </cell>
          <cell r="F340">
            <v>0.84176880313693569</v>
          </cell>
          <cell r="G340">
            <v>-0.10400657990531424</v>
          </cell>
          <cell r="H340">
            <v>0.62191197927601272</v>
          </cell>
        </row>
        <row r="342">
          <cell r="B342" t="str">
            <v>PROFIT AFTER TAX</v>
          </cell>
          <cell r="C342">
            <v>166.72185000000036</v>
          </cell>
          <cell r="D342">
            <v>139.34701999999925</v>
          </cell>
          <cell r="E342">
            <v>137.46600000000007</v>
          </cell>
          <cell r="F342">
            <v>7.0769999999999698</v>
          </cell>
          <cell r="G342">
            <v>210.42820000000029</v>
          </cell>
          <cell r="H342">
            <v>340.27400000000034</v>
          </cell>
        </row>
        <row r="344">
          <cell r="B344" t="str">
            <v>DIVIDEND (%)</v>
          </cell>
          <cell r="C344">
            <v>0.14617924623081921</v>
          </cell>
          <cell r="D344">
            <v>0.13650183343445801</v>
          </cell>
          <cell r="E344">
            <v>5.1295629457035939E-2</v>
          </cell>
          <cell r="F344">
            <v>0</v>
          </cell>
          <cell r="G344">
            <v>1.2938197356967636E-2</v>
          </cell>
          <cell r="H344">
            <v>0</v>
          </cell>
        </row>
        <row r="346">
          <cell r="B346" t="str">
            <v>SHARE CAPITAL</v>
          </cell>
          <cell r="C346">
            <v>298.60599999999999</v>
          </cell>
          <cell r="D346">
            <v>303.25600000000003</v>
          </cell>
          <cell r="E346">
            <v>283.26</v>
          </cell>
          <cell r="F346">
            <v>268.536</v>
          </cell>
          <cell r="G346">
            <v>252.73999999999998</v>
          </cell>
          <cell r="H346">
            <v>279.74</v>
          </cell>
        </row>
        <row r="348">
          <cell r="B348" t="str">
            <v>RESERVES</v>
          </cell>
          <cell r="C348">
            <v>240.446</v>
          </cell>
          <cell r="D348">
            <v>445.875</v>
          </cell>
          <cell r="E348">
            <v>532.72</v>
          </cell>
          <cell r="F348">
            <v>447.12</v>
          </cell>
          <cell r="G348">
            <v>591.08699999999999</v>
          </cell>
          <cell r="H348">
            <v>1314.356</v>
          </cell>
        </row>
        <row r="350">
          <cell r="B350" t="str">
            <v>BORROWINGS</v>
          </cell>
          <cell r="C350">
            <v>697.56999999999994</v>
          </cell>
          <cell r="D350">
            <v>822.31799999999998</v>
          </cell>
          <cell r="E350">
            <v>1200.72</v>
          </cell>
          <cell r="F350">
            <v>840.28</v>
          </cell>
          <cell r="G350">
            <v>778.40700000000004</v>
          </cell>
          <cell r="H350">
            <v>1217.059</v>
          </cell>
        </row>
        <row r="352">
          <cell r="B352" t="str">
            <v>CAPITAL EMPLOYED</v>
          </cell>
          <cell r="C352">
            <v>1325.989</v>
          </cell>
          <cell r="D352">
            <v>1951.5390000000002</v>
          </cell>
          <cell r="E352">
            <v>2252.94</v>
          </cell>
          <cell r="F352">
            <v>1595.4609999999998</v>
          </cell>
          <cell r="G352">
            <v>1730.8739999999998</v>
          </cell>
          <cell r="H352">
            <v>2913.1400000000003</v>
          </cell>
        </row>
        <row r="354">
          <cell r="B354" t="str">
            <v>NET WORTH</v>
          </cell>
          <cell r="C354">
            <v>535.05200000000002</v>
          </cell>
          <cell r="D354">
            <v>745.69100000000003</v>
          </cell>
          <cell r="E354">
            <v>813.10400000000004</v>
          </cell>
          <cell r="F354">
            <v>713.33999999999992</v>
          </cell>
          <cell r="G354">
            <v>842.072</v>
          </cell>
          <cell r="H354">
            <v>1592.3409999999999</v>
          </cell>
        </row>
        <row r="356">
          <cell r="B356" t="str">
            <v>GROSS BLOCK</v>
          </cell>
          <cell r="C356">
            <v>1006.83</v>
          </cell>
          <cell r="D356">
            <v>1474.41</v>
          </cell>
          <cell r="E356">
            <v>1648.41</v>
          </cell>
          <cell r="F356">
            <v>1687.9490000000001</v>
          </cell>
          <cell r="G356">
            <v>2004.2759999999998</v>
          </cell>
          <cell r="H356">
            <v>2627.8779999999997</v>
          </cell>
        </row>
        <row r="358">
          <cell r="B358" t="str">
            <v>NET BLOCK</v>
          </cell>
          <cell r="C358">
            <v>875.88000000000011</v>
          </cell>
          <cell r="D358">
            <v>1289.27</v>
          </cell>
          <cell r="E358">
            <v>1391.48</v>
          </cell>
          <cell r="F358">
            <v>1037.0590000000002</v>
          </cell>
          <cell r="G358">
            <v>1136.5559999999998</v>
          </cell>
          <cell r="H358">
            <v>1625.1539999999998</v>
          </cell>
        </row>
        <row r="359">
          <cell r="B359">
            <v>0</v>
          </cell>
        </row>
        <row r="360">
          <cell r="B360" t="str">
            <v>DEBT-EQUITY RATIO</v>
          </cell>
          <cell r="C360">
            <v>0.81012686617375484</v>
          </cell>
          <cell r="D360">
            <v>0.71058655663002523</v>
          </cell>
          <cell r="E360">
            <v>0.95699935063657282</v>
          </cell>
          <cell r="F360">
            <v>0.95014999859814397</v>
          </cell>
          <cell r="G360">
            <v>0.79835215991031638</v>
          </cell>
          <cell r="H360">
            <v>0.64047336594360127</v>
          </cell>
        </row>
        <row r="362">
          <cell r="B362" t="str">
            <v>NUMBER OF SHARES</v>
          </cell>
          <cell r="C362">
            <v>2617760</v>
          </cell>
          <cell r="D362">
            <v>2617760</v>
          </cell>
          <cell r="E362">
            <v>2617799.9999999995</v>
          </cell>
          <cell r="F362">
            <v>2495560</v>
          </cell>
          <cell r="G362">
            <v>2459839.9999999995</v>
          </cell>
          <cell r="H362">
            <v>2459840</v>
          </cell>
        </row>
        <row r="364">
          <cell r="B364" t="str">
            <v>BOOK VALUE PER SHARE AT YEAR END</v>
          </cell>
          <cell r="C364">
            <v>20.439306888332009</v>
          </cell>
          <cell r="D364">
            <v>28.485842858016017</v>
          </cell>
          <cell r="E364">
            <v>31.060585224234096</v>
          </cell>
          <cell r="F364">
            <v>28.584365833720682</v>
          </cell>
          <cell r="G364">
            <v>34.232795628984</v>
          </cell>
          <cell r="H364">
            <v>64.733519253284754</v>
          </cell>
        </row>
        <row r="366">
          <cell r="B366" t="str">
            <v>EARNINGS PER SHARE</v>
          </cell>
          <cell r="C366">
            <v>6.3688745339527069</v>
          </cell>
          <cell r="D366">
            <v>5.3231396308293828</v>
          </cell>
          <cell r="E366">
            <v>5.2512033004813237</v>
          </cell>
          <cell r="F366">
            <v>0.28358364455272439</v>
          </cell>
          <cell r="G366">
            <v>8.554548263301692</v>
          </cell>
          <cell r="H366">
            <v>13.833176141537674</v>
          </cell>
        </row>
        <row r="368">
          <cell r="B368" t="str">
            <v>NET SALES PER SHARE</v>
          </cell>
          <cell r="C368">
            <v>108.86009412627591</v>
          </cell>
          <cell r="D368">
            <v>0</v>
          </cell>
          <cell r="E368">
            <v>113.65306746122701</v>
          </cell>
          <cell r="F368">
            <v>0</v>
          </cell>
          <cell r="G368">
            <v>182.83018407701317</v>
          </cell>
          <cell r="H368">
            <v>0</v>
          </cell>
        </row>
        <row r="370">
          <cell r="B370" t="str">
            <v>DIVIDEND PER SHARE</v>
          </cell>
          <cell r="C370">
            <v>1.6674561457123649</v>
          </cell>
          <cell r="D370">
            <v>5.2144517998005168E-3</v>
          </cell>
          <cell r="E370">
            <v>1.5812896325158534</v>
          </cell>
          <cell r="F370">
            <v>2.0554757031301966E-3</v>
          </cell>
          <cell r="G370">
            <v>0.59068882528944988</v>
          </cell>
          <cell r="H370">
            <v>0</v>
          </cell>
        </row>
        <row r="372">
          <cell r="B372" t="str">
            <v>PAY-OUT RATIO</v>
          </cell>
          <cell r="C372">
            <v>0.26181331361186255</v>
          </cell>
          <cell r="D372">
            <v>0.29706412092630491</v>
          </cell>
          <cell r="E372">
            <v>0.10569886371902865</v>
          </cell>
          <cell r="F372">
            <v>0</v>
          </cell>
          <cell r="G372">
            <v>1.5539742296897448E-2</v>
          </cell>
          <cell r="H372">
            <v>0</v>
          </cell>
        </row>
        <row r="374">
          <cell r="B374" t="str">
            <v>CURRENT RATIO</v>
          </cell>
          <cell r="C374">
            <v>1.4091554260469052</v>
          </cell>
          <cell r="D374">
            <v>1.5945967646711539</v>
          </cell>
          <cell r="E374">
            <v>1.6878864054502067</v>
          </cell>
          <cell r="F374">
            <v>2.2985801602065221</v>
          </cell>
          <cell r="G374">
            <v>2.611065033546113</v>
          </cell>
          <cell r="H374">
            <v>3.0768747970323003</v>
          </cell>
        </row>
        <row r="376">
          <cell r="B376" t="str">
            <v>LIQUID RATIO</v>
          </cell>
          <cell r="C376">
            <v>1.0806003352602969</v>
          </cell>
          <cell r="D376">
            <v>1.28975085606329</v>
          </cell>
          <cell r="E376">
            <v>1.4041550540102374</v>
          </cell>
          <cell r="F376">
            <v>1.432781595231768</v>
          </cell>
          <cell r="G376">
            <v>1.5919333817147765</v>
          </cell>
          <cell r="H376">
            <v>1.810209587569634</v>
          </cell>
        </row>
        <row r="377">
          <cell r="B377" t="str">
            <v>EVA (ECONOMIC VALUE ADDITION)</v>
          </cell>
          <cell r="C377" t="e">
            <v>#REF!</v>
          </cell>
          <cell r="D377" t="e">
            <v>#REF!</v>
          </cell>
          <cell r="E377" t="e">
            <v>#REF!</v>
          </cell>
          <cell r="F377" t="e">
            <v>#REF!</v>
          </cell>
          <cell r="G377" t="e">
            <v>#REF!</v>
          </cell>
          <cell r="H377" t="e">
            <v>#REF!</v>
          </cell>
        </row>
        <row r="379">
          <cell r="B379" t="str">
            <v>EVA (% OF CAPITAL EMPLOYED)</v>
          </cell>
          <cell r="C379" t="e">
            <v>#REF!</v>
          </cell>
          <cell r="D379" t="e">
            <v>#REF!</v>
          </cell>
          <cell r="E379" t="e">
            <v>#REF!</v>
          </cell>
          <cell r="F379" t="e">
            <v>#REF!</v>
          </cell>
          <cell r="G379" t="e">
            <v>#REF!</v>
          </cell>
          <cell r="H379" t="e">
            <v>#REF!</v>
          </cell>
        </row>
        <row r="381">
          <cell r="B381" t="str">
            <v>RETURN ON NET WORTH</v>
          </cell>
          <cell r="C381">
            <v>0.31159933987724625</v>
          </cell>
          <cell r="D381">
            <v>0.18686965512524523</v>
          </cell>
          <cell r="E381">
            <v>0.16906324406226025</v>
          </cell>
          <cell r="F381">
            <v>9.9209353183614696E-3</v>
          </cell>
          <cell r="G381">
            <v>0.24989335828765272</v>
          </cell>
          <cell r="H381">
            <v>0.21369417731503515</v>
          </cell>
        </row>
        <row r="383">
          <cell r="B383" t="str">
            <v>FIXED ASSETS  PER SHARE</v>
          </cell>
          <cell r="C383">
            <v>33.459140639325227</v>
          </cell>
          <cell r="D383">
            <v>49.250886253896461</v>
          </cell>
          <cell r="E383">
            <v>53.154557261822916</v>
          </cell>
          <cell r="F383">
            <v>41.556163746814349</v>
          </cell>
          <cell r="G383">
            <v>46.204468583322495</v>
          </cell>
          <cell r="H383">
            <v>66.067467802783909</v>
          </cell>
        </row>
        <row r="386">
          <cell r="B386" t="str">
            <v>=</v>
          </cell>
          <cell r="C386" t="str">
            <v>=</v>
          </cell>
          <cell r="D386" t="str">
            <v>=</v>
          </cell>
          <cell r="E386" t="str">
            <v>=</v>
          </cell>
          <cell r="F386" t="str">
            <v>=</v>
          </cell>
          <cell r="G386" t="str">
            <v>=</v>
          </cell>
          <cell r="H386" t="str">
            <v>=</v>
          </cell>
        </row>
      </sheetData>
      <sheetData sheetId="4" refreshError="1"/>
      <sheetData sheetId="5" refreshError="1"/>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Bsheet &amp; P&amp; L "/>
      <sheetName val="depreciation"/>
      <sheetName val="comp31.3.02"/>
      <sheetName val="P&amp;L  Mar31.3.02"/>
      <sheetName val="80IB +80HHC  31.3.02"/>
      <sheetName val="80IB+80 HHC"/>
      <sheetName val="compu-gau"/>
      <sheetName val="Sheet1"/>
      <sheetName val="BS &amp; Pr &amp; Loss (2)"/>
      <sheetName val="Stock Reco."/>
      <sheetName val="ratios"/>
      <sheetName val="final__Bsheet_&amp;_P&amp;_L_1"/>
      <sheetName val="comp31_3_021"/>
      <sheetName val="P&amp;L__Mar31_3_021"/>
      <sheetName val="80IB_+80HHC__31_3_021"/>
      <sheetName val="80IB+80_HHC1"/>
      <sheetName val="BS_&amp;_Pr_&amp;_Loss_(2)1"/>
      <sheetName val="Stock_Reco_1"/>
      <sheetName val="final__Bsheet_&amp;_P&amp;_L_"/>
      <sheetName val="comp31_3_02"/>
      <sheetName val="P&amp;L__Mar31_3_02"/>
      <sheetName val="80IB_+80HHC__31_3_02"/>
      <sheetName val="80IB+80_HHC"/>
      <sheetName val="BS_&amp;_Pr_&amp;_Loss_(2)"/>
      <sheetName val="Stock_Reco_"/>
      <sheetName val="final__Bsheet_&amp;_P&amp;_L_2"/>
      <sheetName val="comp31_3_022"/>
      <sheetName val="P&amp;L__Mar31_3_022"/>
      <sheetName val="80IB_+80HHC__31_3_022"/>
      <sheetName val="80IB+80_HHC2"/>
      <sheetName val="BS_&amp;_Pr_&amp;_Loss_(2)2"/>
      <sheetName val="Stock_Reco_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_Gains"/>
      <sheetName val="Sheet1"/>
    </sheetNames>
    <sheetDataSet>
      <sheetData sheetId="0"/>
      <sheetData sheetId="1">
        <row r="1">
          <cell r="A1" t="str">
            <v>N/A</v>
          </cell>
          <cell r="B1" t="str">
            <v>Aarti Industries Ltd.</v>
          </cell>
          <cell r="C1" t="str">
            <v>Residential</v>
          </cell>
        </row>
        <row r="2">
          <cell r="A2" t="str">
            <v>No</v>
          </cell>
          <cell r="B2" t="str">
            <v>Aban Loyd Chiles Offshore Ltd.</v>
          </cell>
          <cell r="C2" t="str">
            <v>Other</v>
          </cell>
        </row>
        <row r="3">
          <cell r="A3" t="str">
            <v>Yes</v>
          </cell>
          <cell r="B3" t="str">
            <v>Abbott India Ltd.</v>
          </cell>
          <cell r="C3" t="str">
            <v>Shares/Units</v>
          </cell>
        </row>
        <row r="4">
          <cell r="B4" t="str">
            <v>Adani Exports Ltd.</v>
          </cell>
          <cell r="C4" t="str">
            <v>Land</v>
          </cell>
        </row>
        <row r="5">
          <cell r="B5" t="str">
            <v>AFT Industries Ltd.</v>
          </cell>
          <cell r="C5" t="str">
            <v>Debentures</v>
          </cell>
        </row>
        <row r="6">
          <cell r="B6" t="str">
            <v>Aftek Infosys Ltd.</v>
          </cell>
        </row>
        <row r="7">
          <cell r="B7" t="str">
            <v>Agro Dutch Industries Ltd.</v>
          </cell>
        </row>
        <row r="8">
          <cell r="B8" t="str">
            <v>Agro Tech Foods Ltd.</v>
          </cell>
        </row>
        <row r="9">
          <cell r="B9" t="str">
            <v>Ahmedabad Electricity Co.Ltd.</v>
          </cell>
        </row>
        <row r="10">
          <cell r="B10" t="str">
            <v>Ajanta Pharma Ltd.</v>
          </cell>
        </row>
        <row r="11">
          <cell r="B11" t="str">
            <v>Aksh Optifibre Ltd.</v>
          </cell>
        </row>
        <row r="12">
          <cell r="B12" t="str">
            <v>Albright &amp; Wilson Chemicals India Ltd.</v>
          </cell>
        </row>
        <row r="13">
          <cell r="B13" t="str">
            <v>Alembic Ltd.</v>
          </cell>
        </row>
        <row r="14">
          <cell r="B14" t="str">
            <v>Alfa Laval (India) Ltd.</v>
          </cell>
        </row>
        <row r="15">
          <cell r="B15" t="str">
            <v>Alps Industries Ltd.</v>
          </cell>
        </row>
        <row r="16">
          <cell r="B16" t="str">
            <v>Alstom Ltd.</v>
          </cell>
        </row>
        <row r="17">
          <cell r="B17" t="str">
            <v>Alstom Power India Ltd.</v>
          </cell>
        </row>
        <row r="18">
          <cell r="B18" t="str">
            <v>Amara Raja Batteries Ltd.</v>
          </cell>
        </row>
        <row r="19">
          <cell r="B19" t="str">
            <v>Ambalal Sarabhai Enterprise Ltd.</v>
          </cell>
        </row>
        <row r="20">
          <cell r="B20" t="str">
            <v>Amtrex Hitachi Appliances Ltd.</v>
          </cell>
        </row>
        <row r="21">
          <cell r="B21" t="str">
            <v>Andhra Bank</v>
          </cell>
        </row>
        <row r="22">
          <cell r="B22" t="str">
            <v>Apollo Hospitals Enterprises Ltd.</v>
          </cell>
        </row>
        <row r="23">
          <cell r="B23" t="str">
            <v>Apollo Tyres Ltd.</v>
          </cell>
        </row>
        <row r="24">
          <cell r="B24" t="str">
            <v>Archies Greetings &amp; Gifts Ltd.</v>
          </cell>
        </row>
        <row r="25">
          <cell r="B25" t="str">
            <v>Arvind Mills Ltd.</v>
          </cell>
        </row>
        <row r="26">
          <cell r="B26" t="str">
            <v>Asea Brown Boveri Ltd.</v>
          </cell>
        </row>
        <row r="27">
          <cell r="B27" t="str">
            <v>Ashima Ltd.</v>
          </cell>
        </row>
        <row r="28">
          <cell r="B28" t="str">
            <v>Ashok Leyland Finance Ltd.</v>
          </cell>
        </row>
        <row r="29">
          <cell r="B29" t="str">
            <v>Ashok Leyland Ltd.</v>
          </cell>
        </row>
        <row r="30">
          <cell r="B30" t="str">
            <v>Asian Hotels Ltd.</v>
          </cell>
        </row>
        <row r="31">
          <cell r="B31" t="str">
            <v>Asian Paints (India) Ltd.</v>
          </cell>
        </row>
        <row r="32">
          <cell r="B32" t="str">
            <v>Assam Company Ltd.</v>
          </cell>
        </row>
        <row r="33">
          <cell r="B33" t="str">
            <v>Associated Cement Cos. Ltd.</v>
          </cell>
        </row>
        <row r="34">
          <cell r="B34" t="str">
            <v>AstraZeneca Pharma India Ltd.</v>
          </cell>
        </row>
        <row r="35">
          <cell r="B35" t="str">
            <v>Atcom Technologies Ltd.</v>
          </cell>
        </row>
        <row r="36">
          <cell r="B36" t="str">
            <v>Atlas Copco (India) Ltd.</v>
          </cell>
        </row>
        <row r="37">
          <cell r="B37" t="str">
            <v>Atul Ltd.</v>
          </cell>
        </row>
        <row r="38">
          <cell r="B38" t="str">
            <v>Aurobindo Pharma Ltd.</v>
          </cell>
        </row>
        <row r="39">
          <cell r="B39" t="str">
            <v>Automotive Axles Ltd.</v>
          </cell>
        </row>
        <row r="40">
          <cell r="B40" t="str">
            <v>Aventis Crop Science India Ltd.</v>
          </cell>
        </row>
        <row r="41">
          <cell r="B41" t="str">
            <v>Aventis Pharma Ltd.</v>
          </cell>
        </row>
        <row r="42">
          <cell r="B42" t="str">
            <v>Avon Organics Ltd.</v>
          </cell>
        </row>
        <row r="43">
          <cell r="B43" t="str">
            <v>Aztec Software and Technolgy Services Ltd.</v>
          </cell>
        </row>
        <row r="44">
          <cell r="B44" t="str">
            <v>Bajaj Auto Finance Ltd.</v>
          </cell>
        </row>
        <row r="45">
          <cell r="B45" t="str">
            <v>Bajaj Auto Ltd.</v>
          </cell>
        </row>
        <row r="46">
          <cell r="B46" t="str">
            <v>Bajaj Hindustan Ltd.</v>
          </cell>
        </row>
        <row r="47">
          <cell r="B47" t="str">
            <v>Balaji Distilleries Ltd.</v>
          </cell>
        </row>
        <row r="48">
          <cell r="B48" t="str">
            <v>Balaji Telefilms Ltd.</v>
          </cell>
        </row>
        <row r="49">
          <cell r="B49" t="str">
            <v>Ballarpur Industries Ltd.</v>
          </cell>
        </row>
        <row r="50">
          <cell r="B50" t="str">
            <v>Balrampur Chini Mills Ltd.</v>
          </cell>
        </row>
        <row r="51">
          <cell r="B51" t="str">
            <v>Bank Of Baroda</v>
          </cell>
        </row>
        <row r="52">
          <cell r="B52" t="str">
            <v>Bank of India</v>
          </cell>
        </row>
        <row r="53">
          <cell r="B53" t="str">
            <v>Bank Of Punjab Ltd.</v>
          </cell>
        </row>
        <row r="54">
          <cell r="B54" t="str">
            <v>Bannari Amman Sugars Ltd.</v>
          </cell>
        </row>
        <row r="55">
          <cell r="B55" t="str">
            <v>BASF India Ltd.</v>
          </cell>
        </row>
        <row r="56">
          <cell r="B56" t="str">
            <v>Bata India Ltd.</v>
          </cell>
        </row>
        <row r="57">
          <cell r="B57" t="str">
            <v>Bayer (India) Ltd.</v>
          </cell>
        </row>
        <row r="58">
          <cell r="B58" t="str">
            <v>Bayer ABS Ltd.</v>
          </cell>
        </row>
        <row r="59">
          <cell r="B59" t="str">
            <v>Berger Paints India Ltd.</v>
          </cell>
        </row>
        <row r="60">
          <cell r="B60" t="str">
            <v>Bharat Earth Movers Ltd.</v>
          </cell>
        </row>
        <row r="61">
          <cell r="B61" t="str">
            <v>Bharat Electronics Ltd.</v>
          </cell>
        </row>
        <row r="62">
          <cell r="B62" t="str">
            <v>Bharat Forge Ltd.</v>
          </cell>
        </row>
        <row r="63">
          <cell r="B63" t="str">
            <v>Bharat Heavy Electricals Ltd.</v>
          </cell>
        </row>
        <row r="64">
          <cell r="B64" t="str">
            <v>Bharat Petroleum Corpn. Ltd.</v>
          </cell>
        </row>
        <row r="65">
          <cell r="B65" t="str">
            <v>Bharti Tele-Ventures Ltd.</v>
          </cell>
        </row>
        <row r="66">
          <cell r="B66" t="str">
            <v>Bhartiya International Ltd.</v>
          </cell>
        </row>
        <row r="67">
          <cell r="B67" t="str">
            <v>Bhushan Steel &amp; Strips Ltd.</v>
          </cell>
        </row>
        <row r="68">
          <cell r="B68" t="str">
            <v>Binani Industries Ltd.</v>
          </cell>
        </row>
        <row r="69">
          <cell r="B69" t="str">
            <v>Birla 3M Ltd.</v>
          </cell>
        </row>
        <row r="70">
          <cell r="B70" t="str">
            <v>Birla Corporation Ltd.</v>
          </cell>
        </row>
        <row r="71">
          <cell r="B71" t="str">
            <v>Birla Ericsson Opticaal Ltd.</v>
          </cell>
        </row>
        <row r="72">
          <cell r="B72" t="str">
            <v>Birla Global Finance Ltd.</v>
          </cell>
        </row>
        <row r="73">
          <cell r="B73" t="str">
            <v>Blow Plast Ltd.</v>
          </cell>
        </row>
        <row r="74">
          <cell r="B74" t="str">
            <v>Blue Dart Express Ltd.</v>
          </cell>
        </row>
        <row r="75">
          <cell r="B75" t="str">
            <v>Blue Star Ltd.</v>
          </cell>
        </row>
        <row r="76">
          <cell r="B76" t="str">
            <v>BOC India Ltd.</v>
          </cell>
        </row>
        <row r="77">
          <cell r="B77" t="str">
            <v>Bombay Burmah Trading Corpn. Ltd.</v>
          </cell>
        </row>
        <row r="78">
          <cell r="B78" t="str">
            <v>Bombay Dyeing &amp; Mfg. Co. Ltd.</v>
          </cell>
        </row>
        <row r="79">
          <cell r="B79" t="str">
            <v>BPL Ltd.</v>
          </cell>
        </row>
        <row r="80">
          <cell r="B80" t="str">
            <v>Britannia Industries Ltd.</v>
          </cell>
        </row>
        <row r="81">
          <cell r="B81" t="str">
            <v>BSES Ltd.</v>
          </cell>
        </row>
        <row r="82">
          <cell r="B82" t="str">
            <v>Burroughs Wellcome (India) Ltd.</v>
          </cell>
        </row>
        <row r="83">
          <cell r="B83" t="str">
            <v>Cadila Healthcare Ltd.</v>
          </cell>
        </row>
        <row r="84">
          <cell r="B84" t="str">
            <v>Carborundum Universal Ltd.</v>
          </cell>
        </row>
        <row r="85">
          <cell r="B85" t="str">
            <v>Carrier Aircon Ltd.</v>
          </cell>
        </row>
        <row r="86">
          <cell r="B86" t="str">
            <v>Castrol India Ltd.</v>
          </cell>
        </row>
        <row r="87">
          <cell r="B87" t="str">
            <v>Ceat Ltd.</v>
          </cell>
        </row>
        <row r="88">
          <cell r="B88" t="str">
            <v>Centurion Bank Ltd.</v>
          </cell>
        </row>
        <row r="89">
          <cell r="B89" t="str">
            <v>Century Enka Ltd.</v>
          </cell>
        </row>
        <row r="90">
          <cell r="B90" t="str">
            <v>Century Textiles &amp; Industries Ltd.</v>
          </cell>
        </row>
        <row r="91">
          <cell r="B91" t="str">
            <v>CESC Ltd.</v>
          </cell>
        </row>
        <row r="92">
          <cell r="B92" t="str">
            <v>CG Igarashi Motars Ltd.</v>
          </cell>
        </row>
        <row r="93">
          <cell r="B93" t="str">
            <v>Chambal Fertilisers &amp; Chemicals Ltd.</v>
          </cell>
        </row>
        <row r="94">
          <cell r="B94" t="str">
            <v>Chemplast Sanmar Ltd.</v>
          </cell>
        </row>
        <row r="95">
          <cell r="B95" t="str">
            <v>Chennai Petroleum Corporation Ltd.</v>
          </cell>
        </row>
        <row r="96">
          <cell r="B96" t="str">
            <v>Ciba Speciality Chemicals (India) Ltd.</v>
          </cell>
        </row>
        <row r="97">
          <cell r="B97" t="str">
            <v>Cinevistaas Ltd</v>
          </cell>
        </row>
        <row r="98">
          <cell r="B98" t="str">
            <v>Cipla Ltd.</v>
          </cell>
        </row>
        <row r="99">
          <cell r="B99" t="str">
            <v>Clariant (India) Ltd.</v>
          </cell>
        </row>
        <row r="100">
          <cell r="B100" t="str">
            <v>CMC Ltd.</v>
          </cell>
        </row>
        <row r="101">
          <cell r="B101" t="str">
            <v>Coates of India Ltd.</v>
          </cell>
        </row>
        <row r="102">
          <cell r="B102" t="str">
            <v>Colgate-Palmolive (India) Ltd.</v>
          </cell>
        </row>
        <row r="103">
          <cell r="B103" t="str">
            <v>Colour Chem Ltd.</v>
          </cell>
        </row>
        <row r="104">
          <cell r="B104" t="str">
            <v>Computech International Ltd.</v>
          </cell>
        </row>
        <row r="105">
          <cell r="B105" t="str">
            <v>Container Corporation Of India Ltd.</v>
          </cell>
        </row>
        <row r="106">
          <cell r="B106" t="str">
            <v>Core Healthcare Ltd.</v>
          </cell>
        </row>
        <row r="107">
          <cell r="B107" t="str">
            <v>Corporation Bank</v>
          </cell>
        </row>
        <row r="108">
          <cell r="B108" t="str">
            <v>Credit Rating Information Services</v>
          </cell>
        </row>
        <row r="109">
          <cell r="B109" t="str">
            <v>Crest Communications Ltd.</v>
          </cell>
        </row>
        <row r="110">
          <cell r="B110" t="str">
            <v>Crompton Greaves Ltd.</v>
          </cell>
        </row>
        <row r="111">
          <cell r="B111" t="str">
            <v>Cummins India Ltd.</v>
          </cell>
        </row>
        <row r="112">
          <cell r="B112" t="str">
            <v>Cybertech Systems and Software Ltd.</v>
          </cell>
        </row>
        <row r="113">
          <cell r="B113" t="str">
            <v>Dabur India Ltd.</v>
          </cell>
        </row>
        <row r="114">
          <cell r="B114" t="str">
            <v>Daewoo Motors India Ltd.</v>
          </cell>
        </row>
        <row r="115">
          <cell r="B115" t="str">
            <v>Dalmia Cement (Bharat) Ltd.</v>
          </cell>
        </row>
        <row r="116">
          <cell r="B116" t="str">
            <v>Deepak Fertilizers &amp;Petrochemicals</v>
          </cell>
        </row>
        <row r="117">
          <cell r="B117" t="str">
            <v>Dena Bank</v>
          </cell>
        </row>
        <row r="118">
          <cell r="B118" t="str">
            <v>Digital Globalsoft Ltd.</v>
          </cell>
        </row>
        <row r="119">
          <cell r="B119" t="str">
            <v>Dr. Reddys Laboratories Ltd.</v>
          </cell>
        </row>
        <row r="120">
          <cell r="B120" t="str">
            <v>Dredging Corporation of India Ltd.</v>
          </cell>
        </row>
        <row r="121">
          <cell r="B121" t="str">
            <v>DSQ Software Ltd.</v>
          </cell>
        </row>
        <row r="122">
          <cell r="B122" t="str">
            <v>Duphar-Interfran Ltd.</v>
          </cell>
        </row>
        <row r="123">
          <cell r="B123" t="str">
            <v>E.I.D. Parry (India) Ltd.</v>
          </cell>
        </row>
        <row r="124">
          <cell r="B124" t="str">
            <v>Eicher Motors Ltd.</v>
          </cell>
        </row>
        <row r="125">
          <cell r="B125" t="str">
            <v>EIH Ltd.</v>
          </cell>
        </row>
        <row r="126">
          <cell r="B126" t="str">
            <v>Elbee Services Ltd.</v>
          </cell>
        </row>
        <row r="127">
          <cell r="B127" t="str">
            <v>Elder Pharmaceuticals Ltd.</v>
          </cell>
        </row>
        <row r="128">
          <cell r="B128" t="str">
            <v>Electrolux Kelvinator Ltd.</v>
          </cell>
        </row>
        <row r="129">
          <cell r="B129" t="str">
            <v>Electrosteel Castings Ltd.</v>
          </cell>
        </row>
        <row r="130">
          <cell r="B130" t="str">
            <v>Elgi Equipments Ltd.</v>
          </cell>
        </row>
        <row r="131">
          <cell r="B131" t="str">
            <v>EMCO Ltd.</v>
          </cell>
        </row>
        <row r="132">
          <cell r="B132" t="str">
            <v>Engineers India Ltd.</v>
          </cell>
        </row>
        <row r="133">
          <cell r="B133" t="str">
            <v>Esab India Ltd.</v>
          </cell>
        </row>
        <row r="134">
          <cell r="B134" t="str">
            <v>Escorts Ltd.</v>
          </cell>
        </row>
        <row r="135">
          <cell r="B135" t="str">
            <v>e-Serve International Ltd.</v>
          </cell>
        </row>
        <row r="136">
          <cell r="B136" t="str">
            <v>Eskay KnIT (India) Ltd.</v>
          </cell>
        </row>
        <row r="137">
          <cell r="B137" t="str">
            <v>Essar Oil Ltd.</v>
          </cell>
        </row>
        <row r="138">
          <cell r="B138" t="str">
            <v>Essar Shipping Ltd.</v>
          </cell>
        </row>
        <row r="139">
          <cell r="B139" t="str">
            <v>Essar Steel Ltd.</v>
          </cell>
        </row>
        <row r="140">
          <cell r="B140" t="str">
            <v>Essel Propack Ltd.</v>
          </cell>
        </row>
        <row r="141">
          <cell r="B141" t="str">
            <v>ETC Networks Ltd.</v>
          </cell>
        </row>
        <row r="142">
          <cell r="B142" t="str">
            <v>Eveready Industries India Ltd.</v>
          </cell>
        </row>
        <row r="143">
          <cell r="B143" t="str">
            <v>Excell Industries Ltd.</v>
          </cell>
        </row>
        <row r="144">
          <cell r="B144" t="str">
            <v>Exide Industries Ltd.</v>
          </cell>
        </row>
        <row r="145">
          <cell r="B145" t="str">
            <v>Fag Bearings India Ltd.</v>
          </cell>
        </row>
        <row r="146">
          <cell r="B146" t="str">
            <v>FCL Technologies &amp; Products Ltd.</v>
          </cell>
        </row>
        <row r="147">
          <cell r="B147" t="str">
            <v>FDC Ltd.</v>
          </cell>
        </row>
        <row r="148">
          <cell r="B148" t="str">
            <v>Federal Bank Ltd.</v>
          </cell>
        </row>
        <row r="149">
          <cell r="B149" t="str">
            <v>Finolex Cables Ltd.</v>
          </cell>
        </row>
        <row r="150">
          <cell r="B150" t="str">
            <v>Finolex Industries Ltd.</v>
          </cell>
        </row>
        <row r="151">
          <cell r="B151" t="str">
            <v>Flex Industries Ltd.</v>
          </cell>
        </row>
        <row r="152">
          <cell r="B152" t="str">
            <v>Floatglass India Ltd.</v>
          </cell>
        </row>
        <row r="153">
          <cell r="B153" t="str">
            <v>Forbes Gokak Ltd.</v>
          </cell>
        </row>
        <row r="154">
          <cell r="B154" t="str">
            <v>Foseco India Ltd.</v>
          </cell>
        </row>
        <row r="155">
          <cell r="B155" t="str">
            <v>Fulford (India) Ltd.</v>
          </cell>
        </row>
        <row r="156">
          <cell r="B156" t="str">
            <v>Gail (India) Ltd.</v>
          </cell>
        </row>
        <row r="157">
          <cell r="B157" t="str">
            <v>Gammon India Ltd.</v>
          </cell>
        </row>
        <row r="158">
          <cell r="B158" t="str">
            <v>Geometric Software Solutions Co.Ltd.</v>
          </cell>
        </row>
        <row r="159">
          <cell r="B159" t="str">
            <v>George Williamson (Assam)</v>
          </cell>
        </row>
        <row r="160">
          <cell r="B160" t="str">
            <v>German Remedies Ltd.</v>
          </cell>
        </row>
        <row r="161">
          <cell r="B161" t="str">
            <v>Gillette India Ltd.</v>
          </cell>
        </row>
        <row r="162">
          <cell r="B162" t="str">
            <v>GlaxoSmithkline Consumer Healthcare Ltd.</v>
          </cell>
        </row>
        <row r="163">
          <cell r="B163" t="str">
            <v>GlaxoSmithKline Pharmaceuticals Ltd.</v>
          </cell>
        </row>
        <row r="164">
          <cell r="B164" t="str">
            <v>Glenmark Pharmaceuticals Ltd.</v>
          </cell>
        </row>
        <row r="165">
          <cell r="B165" t="str">
            <v>Global Trust Bank Ltd.</v>
          </cell>
        </row>
        <row r="166">
          <cell r="B166" t="str">
            <v>Godfrey Phillips India Ltd.</v>
          </cell>
        </row>
        <row r="167">
          <cell r="B167" t="str">
            <v>Godrej Consumer Products Ltd.</v>
          </cell>
        </row>
        <row r="168">
          <cell r="B168" t="str">
            <v>Godrej Industries Ltd.</v>
          </cell>
        </row>
        <row r="169">
          <cell r="B169" t="str">
            <v>Goetze (India) Ltd.</v>
          </cell>
        </row>
        <row r="170">
          <cell r="B170" t="str">
            <v>Goldiam International Ltd.</v>
          </cell>
        </row>
        <row r="171">
          <cell r="B171" t="str">
            <v>Goodlass Nerolac Paints Ltd.</v>
          </cell>
        </row>
        <row r="172">
          <cell r="B172" t="str">
            <v>Goodricke Group Ltd.</v>
          </cell>
        </row>
        <row r="173">
          <cell r="B173" t="str">
            <v>Goodyear India Ltd.</v>
          </cell>
        </row>
        <row r="174">
          <cell r="B174" t="str">
            <v>Grasim Industries Ltd.</v>
          </cell>
        </row>
        <row r="175">
          <cell r="B175" t="str">
            <v>Great Eastern Shipping Co. Ltd.</v>
          </cell>
        </row>
        <row r="176">
          <cell r="B176" t="str">
            <v>Greaves Ltd.</v>
          </cell>
        </row>
        <row r="177">
          <cell r="B177" t="str">
            <v>Grindwell Norton Ltd.</v>
          </cell>
        </row>
        <row r="178">
          <cell r="B178" t="str">
            <v>GTL Ltd.</v>
          </cell>
        </row>
        <row r="179">
          <cell r="B179" t="str">
            <v>Gujarat Alkalis &amp; Chemicals Ltd.</v>
          </cell>
        </row>
        <row r="180">
          <cell r="B180" t="str">
            <v>Gujarat Ambuja Cements Ltd.</v>
          </cell>
        </row>
        <row r="181">
          <cell r="B181" t="str">
            <v>Gujarat Fluorochemicals Ltd.</v>
          </cell>
        </row>
        <row r="182">
          <cell r="B182" t="str">
            <v>Gujarat Gas Co. Ltd.</v>
          </cell>
        </row>
        <row r="183">
          <cell r="B183" t="str">
            <v>Gujarat Heavy Chemicals Ltd.</v>
          </cell>
        </row>
        <row r="184">
          <cell r="B184" t="str">
            <v>Gujarat Industries Power Co. Ltd.</v>
          </cell>
        </row>
        <row r="185">
          <cell r="B185" t="str">
            <v>Gujarat Mineral Development Corporation</v>
          </cell>
        </row>
        <row r="186">
          <cell r="B186" t="str">
            <v>Gujarat Narmada Valley Fert.Co.Ltd.</v>
          </cell>
        </row>
        <row r="187">
          <cell r="B187" t="str">
            <v>Gujarat Sidhee Cement Ltd.</v>
          </cell>
        </row>
        <row r="188">
          <cell r="B188" t="str">
            <v>Gujarat State Fertilizers &amp; Chem.Ltd.</v>
          </cell>
        </row>
        <row r="189">
          <cell r="B189" t="str">
            <v>Havells India Ltd.</v>
          </cell>
        </row>
        <row r="190">
          <cell r="B190" t="str">
            <v>HCL Infosystems Ltd.</v>
          </cell>
        </row>
        <row r="191">
          <cell r="B191" t="str">
            <v>HCL Technologies Ltd.</v>
          </cell>
        </row>
        <row r="192">
          <cell r="B192" t="str">
            <v>HDFC Bank Ltd.</v>
          </cell>
        </row>
        <row r="193">
          <cell r="B193" t="str">
            <v>HEG Ltd.</v>
          </cell>
        </row>
        <row r="194">
          <cell r="B194" t="str">
            <v>Henkel Spic India Ltd.</v>
          </cell>
        </row>
        <row r="195">
          <cell r="B195" t="str">
            <v>Hero Honda Motors Ltd.</v>
          </cell>
        </row>
        <row r="196">
          <cell r="B196" t="str">
            <v>Hikal Ltd.</v>
          </cell>
        </row>
        <row r="197">
          <cell r="B197" t="str">
            <v>Himachal Futuristic Communications</v>
          </cell>
        </row>
        <row r="198">
          <cell r="B198" t="str">
            <v>Himatsingka Seide Ltd.</v>
          </cell>
        </row>
        <row r="199">
          <cell r="B199" t="str">
            <v>Hind Lever Chemicals Ltd.</v>
          </cell>
        </row>
        <row r="200">
          <cell r="B200" t="str">
            <v>Hindalco Industries Ltd.</v>
          </cell>
        </row>
        <row r="201">
          <cell r="B201" t="str">
            <v>Hindustan Construction Co. Ltd.</v>
          </cell>
        </row>
        <row r="202">
          <cell r="B202" t="str">
            <v>Hindustan Inks &amp; Resins Ltd.</v>
          </cell>
        </row>
        <row r="203">
          <cell r="B203" t="str">
            <v>Hindustan Lever Ltd.</v>
          </cell>
        </row>
        <row r="204">
          <cell r="B204" t="str">
            <v>Hindustan Motors Ltd.</v>
          </cell>
        </row>
        <row r="205">
          <cell r="B205" t="str">
            <v>Hindustan Oil Exploration Co. Ltd.</v>
          </cell>
        </row>
        <row r="206">
          <cell r="B206" t="str">
            <v>Hindustan Organic Chemicals Ltd.</v>
          </cell>
        </row>
        <row r="207">
          <cell r="B207" t="str">
            <v>Hindustan Petroleum Corporation Ltd.</v>
          </cell>
        </row>
        <row r="208">
          <cell r="B208" t="str">
            <v>Hindustan Powerplus Ltd.</v>
          </cell>
        </row>
        <row r="209">
          <cell r="B209" t="str">
            <v>Hindustan Sanitaryware &amp; Industries</v>
          </cell>
        </row>
        <row r="210">
          <cell r="B210" t="str">
            <v>Hindustan Zinc Ltd.</v>
          </cell>
        </row>
        <row r="211">
          <cell r="B211" t="str">
            <v>HMT Ltd.</v>
          </cell>
        </row>
        <row r="212">
          <cell r="B212" t="str">
            <v>Honda Siel Power Products Ltd.</v>
          </cell>
        </row>
        <row r="213">
          <cell r="B213" t="str">
            <v>Hotel Leela Venture Ltd.</v>
          </cell>
        </row>
        <row r="214">
          <cell r="B214" t="str">
            <v>Housing Development Finance Corp.Lt</v>
          </cell>
        </row>
        <row r="215">
          <cell r="B215" t="str">
            <v>Hughes Software Systems Ltd.</v>
          </cell>
        </row>
        <row r="216">
          <cell r="B216" t="str">
            <v>IBP Co. Ltd.</v>
          </cell>
        </row>
        <row r="217">
          <cell r="B217" t="str">
            <v>ICI India Ltd.</v>
          </cell>
        </row>
        <row r="218">
          <cell r="B218" t="str">
            <v>ICICI Bank Ltd.</v>
          </cell>
        </row>
        <row r="219">
          <cell r="B219" t="str">
            <v>IDBI Bank Ltd.</v>
          </cell>
        </row>
        <row r="220">
          <cell r="B220" t="str">
            <v>IFCI Ltd.</v>
          </cell>
        </row>
        <row r="221">
          <cell r="B221" t="str">
            <v>India Cements Ltd.</v>
          </cell>
        </row>
        <row r="222">
          <cell r="B222" t="str">
            <v>India Glycols Ltd.</v>
          </cell>
        </row>
        <row r="223">
          <cell r="B223" t="str">
            <v>India Gypsum Ltd.</v>
          </cell>
        </row>
        <row r="224">
          <cell r="B224" t="str">
            <v>Indian Aluminium Co. Ltd.</v>
          </cell>
        </row>
        <row r="225">
          <cell r="B225" t="str">
            <v>Indian Hotels Co. Ltd.</v>
          </cell>
        </row>
        <row r="226">
          <cell r="B226" t="str">
            <v>Indian Oil Corporation Ltd.</v>
          </cell>
        </row>
        <row r="227">
          <cell r="B227" t="str">
            <v>Indian Overseas Bank</v>
          </cell>
        </row>
        <row r="228">
          <cell r="B228" t="str">
            <v>Indian Petrochemicals Corpn. Ltd.</v>
          </cell>
        </row>
        <row r="229">
          <cell r="B229" t="str">
            <v>Indian Rayon &amp; Industries Ltd.</v>
          </cell>
        </row>
        <row r="230">
          <cell r="B230" t="str">
            <v>Indo Gulf Corporation Ltd.</v>
          </cell>
        </row>
        <row r="231">
          <cell r="B231" t="str">
            <v>Indo National Ltd.</v>
          </cell>
        </row>
        <row r="232">
          <cell r="B232" t="str">
            <v>Indo Rama Synthetics (India) Ltd.</v>
          </cell>
        </row>
        <row r="233">
          <cell r="B233" t="str">
            <v>Indraprastha Medical Corporation Ltd.</v>
          </cell>
        </row>
        <row r="234">
          <cell r="B234" t="str">
            <v>IndusInd Bank Ltd.</v>
          </cell>
        </row>
        <row r="235">
          <cell r="B235" t="str">
            <v>Industrial Development Bank of India Ltd.</v>
          </cell>
        </row>
        <row r="236">
          <cell r="B236" t="str">
            <v>Information Technologies (India) Lt</v>
          </cell>
        </row>
        <row r="237">
          <cell r="B237" t="str">
            <v>Infosys Technologies Ltd.</v>
          </cell>
        </row>
        <row r="238">
          <cell r="B238" t="str">
            <v>Infotech Enterprises Ltd.</v>
          </cell>
        </row>
        <row r="239">
          <cell r="B239" t="str">
            <v>Ingersoll-Rand (India) Ltd.</v>
          </cell>
        </row>
        <row r="240">
          <cell r="B240" t="str">
            <v>Insilco Ltd.</v>
          </cell>
        </row>
        <row r="241">
          <cell r="B241" t="str">
            <v>IP Rings Ltd.</v>
          </cell>
        </row>
        <row r="242">
          <cell r="B242" t="str">
            <v>Ipca Laboratories Ltd.</v>
          </cell>
        </row>
        <row r="243">
          <cell r="B243" t="str">
            <v>Ispat Industries Ltd.</v>
          </cell>
        </row>
        <row r="244">
          <cell r="B244" t="str">
            <v>ITC Hotels Ltd.</v>
          </cell>
        </row>
        <row r="245">
          <cell r="B245" t="str">
            <v>ITC Ltd.</v>
          </cell>
        </row>
        <row r="246">
          <cell r="B246" t="str">
            <v>ITI Ltd.</v>
          </cell>
        </row>
        <row r="247">
          <cell r="B247" t="str">
            <v>IVRCL Infrastructures &amp; Projects Ltd.</v>
          </cell>
        </row>
        <row r="248">
          <cell r="B248" t="str">
            <v>J.B. Chemicals &amp; Pharmaceuticals Ltd.</v>
          </cell>
        </row>
        <row r="249">
          <cell r="B249" t="str">
            <v>J.K.Industries Ltd.</v>
          </cell>
        </row>
        <row r="250">
          <cell r="B250" t="str">
            <v>Jagatjit Industries Ltd.</v>
          </cell>
        </row>
        <row r="251">
          <cell r="B251" t="str">
            <v>Jai Prakash Industries Ltd.</v>
          </cell>
        </row>
        <row r="252">
          <cell r="B252" t="str">
            <v>Jay Shree Tea &amp; Industries Ltd.</v>
          </cell>
        </row>
        <row r="253">
          <cell r="B253" t="str">
            <v>Jayant Agro-Organics Ltd.</v>
          </cell>
        </row>
        <row r="254">
          <cell r="B254" t="str">
            <v>JCT Ltd.</v>
          </cell>
        </row>
        <row r="255">
          <cell r="B255" t="str">
            <v>Jindal Iron &amp; Steel Co Ltd.</v>
          </cell>
        </row>
        <row r="256">
          <cell r="B256" t="str">
            <v>Jindal Photo Films Ltd.</v>
          </cell>
        </row>
        <row r="257">
          <cell r="B257" t="str">
            <v>Jindal Steel &amp; Power Ltd.</v>
          </cell>
        </row>
        <row r="258">
          <cell r="B258" t="str">
            <v>Jindal Strips Ltd.</v>
          </cell>
        </row>
        <row r="259">
          <cell r="B259" t="str">
            <v>Jindal Vijayanagar Steel Ltd.</v>
          </cell>
        </row>
        <row r="260">
          <cell r="B260" t="str">
            <v>JK Corp Ltd.</v>
          </cell>
        </row>
        <row r="261">
          <cell r="B261" t="str">
            <v>Jubilant Organosys Ltd.</v>
          </cell>
        </row>
        <row r="262">
          <cell r="B262" t="str">
            <v>Jupiter Bioscience Ltd.</v>
          </cell>
        </row>
        <row r="263">
          <cell r="B263" t="str">
            <v>Jyoti Structures Ltd.</v>
          </cell>
        </row>
        <row r="264">
          <cell r="B264" t="str">
            <v>K.E.C. International Ltd.</v>
          </cell>
        </row>
        <row r="265">
          <cell r="B265" t="str">
            <v>Kajaria Ceramics Ltd.</v>
          </cell>
        </row>
        <row r="266">
          <cell r="B266" t="str">
            <v>Kale Consultants Ltd.</v>
          </cell>
        </row>
        <row r="267">
          <cell r="B267" t="str">
            <v>Kalpataru Power Transmission Ltd.</v>
          </cell>
        </row>
        <row r="268">
          <cell r="B268" t="str">
            <v>Kalyani Steels Ltd.</v>
          </cell>
        </row>
        <row r="269">
          <cell r="B269" t="str">
            <v>Kanoria Chemicals &amp; Industries Ltd.</v>
          </cell>
        </row>
        <row r="270">
          <cell r="B270" t="str">
            <v>KDL Biotech Ltd.</v>
          </cell>
        </row>
        <row r="271">
          <cell r="B271" t="str">
            <v>Kesoram Industries Ltd.</v>
          </cell>
        </row>
        <row r="272">
          <cell r="B272" t="str">
            <v>Kinetic Motor Co. Ltd.</v>
          </cell>
        </row>
        <row r="273">
          <cell r="B273" t="str">
            <v>Kirloskar Oil Engines Ltd.</v>
          </cell>
        </row>
        <row r="274">
          <cell r="B274" t="str">
            <v>Kochi Refineries Ltd.</v>
          </cell>
        </row>
        <row r="275">
          <cell r="B275" t="str">
            <v>Kodak India Ltd.</v>
          </cell>
        </row>
        <row r="276">
          <cell r="B276" t="str">
            <v>Kopran Ltd.</v>
          </cell>
        </row>
        <row r="277">
          <cell r="B277" t="str">
            <v>Kotak Mahindra Finance Ltd.</v>
          </cell>
        </row>
        <row r="278">
          <cell r="B278" t="str">
            <v>Kothari Products Ltd.</v>
          </cell>
        </row>
        <row r="279">
          <cell r="B279" t="str">
            <v>Krebs Biochemicals Ltd.</v>
          </cell>
        </row>
        <row r="280">
          <cell r="B280" t="str">
            <v>Krishna Lifestyle Technologies Ltd.</v>
          </cell>
        </row>
        <row r="281">
          <cell r="B281" t="str">
            <v>Krone Communications Ltd.</v>
          </cell>
        </row>
        <row r="282">
          <cell r="B282" t="str">
            <v>KSB Pumps Ltd.</v>
          </cell>
        </row>
        <row r="283">
          <cell r="B283" t="str">
            <v>L.M.L. Ltd.</v>
          </cell>
        </row>
        <row r="284">
          <cell r="B284" t="str">
            <v>Lakhani India Ltd.</v>
          </cell>
        </row>
        <row r="285">
          <cell r="B285" t="str">
            <v>Lakshmi Machine Works Ltd.</v>
          </cell>
        </row>
        <row r="286">
          <cell r="B286" t="str">
            <v>Larsen &amp; Toubro Ltd.</v>
          </cell>
        </row>
        <row r="287">
          <cell r="B287" t="str">
            <v>Lic Housing Finance Ltd.</v>
          </cell>
        </row>
        <row r="288">
          <cell r="B288" t="str">
            <v>Lloyds Steel Industries Ltd.</v>
          </cell>
        </row>
        <row r="289">
          <cell r="B289" t="str">
            <v>Lupin Ltd.</v>
          </cell>
        </row>
        <row r="290">
          <cell r="B290" t="str">
            <v>M.R.F. Ltd.</v>
          </cell>
        </row>
        <row r="291">
          <cell r="B291" t="str">
            <v>Macmillan India Ltd.</v>
          </cell>
        </row>
        <row r="292">
          <cell r="B292" t="str">
            <v>Madras Aluminium Co. Ltd.</v>
          </cell>
        </row>
        <row r="293">
          <cell r="B293" t="str">
            <v>Madras Cements Ltd.</v>
          </cell>
        </row>
        <row r="294">
          <cell r="B294" t="str">
            <v>Madura Coats Ltd.</v>
          </cell>
        </row>
        <row r="295">
          <cell r="B295" t="str">
            <v>Mahanagar Telephone Nigam Ltd.</v>
          </cell>
        </row>
        <row r="296">
          <cell r="B296" t="str">
            <v>Maharashtra Seamless Ltd.</v>
          </cell>
        </row>
        <row r="297">
          <cell r="B297" t="str">
            <v>Mahavir Spg. Mills Ltd.</v>
          </cell>
        </row>
        <row r="298">
          <cell r="B298" t="str">
            <v>Mahindra &amp; Mahindra Ltd.</v>
          </cell>
        </row>
        <row r="299">
          <cell r="B299" t="str">
            <v>Mahindra Gesco Developers Ltd.</v>
          </cell>
        </row>
        <row r="300">
          <cell r="B300" t="str">
            <v>Mangalore Chemicals &amp; Fertilisers Ltd.</v>
          </cell>
        </row>
        <row r="301">
          <cell r="B301" t="str">
            <v>Mangalore Refinery &amp; Petrochemicals Ltd.</v>
          </cell>
        </row>
        <row r="302">
          <cell r="B302" t="str">
            <v>Maral Overseas Ltd.</v>
          </cell>
        </row>
        <row r="303">
          <cell r="B303" t="str">
            <v>Marico Industries Ltd.</v>
          </cell>
        </row>
        <row r="304">
          <cell r="B304" t="str">
            <v>Mascon Global Ltd.</v>
          </cell>
        </row>
        <row r="305">
          <cell r="B305" t="str">
            <v>Mascot Systems Ltd.</v>
          </cell>
        </row>
        <row r="306">
          <cell r="B306" t="str">
            <v>Mastek Ltd.</v>
          </cell>
        </row>
        <row r="307">
          <cell r="B307" t="str">
            <v>Matsushita Television &amp; Audio India</v>
          </cell>
        </row>
        <row r="308">
          <cell r="B308" t="str">
            <v>Max India Ltd.</v>
          </cell>
        </row>
        <row r="309">
          <cell r="B309" t="str">
            <v>McDowell &amp; Company Ltd.</v>
          </cell>
        </row>
        <row r="310">
          <cell r="B310" t="str">
            <v>Merck Ltd.</v>
          </cell>
        </row>
        <row r="311">
          <cell r="B311" t="str">
            <v>Mid-Day Multimedia Ltd.</v>
          </cell>
        </row>
        <row r="312">
          <cell r="B312" t="str">
            <v>Mirc Electronics Ltd.</v>
          </cell>
        </row>
        <row r="313">
          <cell r="B313" t="str">
            <v>Mirza Tanners Ltd.</v>
          </cell>
        </row>
        <row r="314">
          <cell r="B314" t="str">
            <v>Modi Rubber Ltd.</v>
          </cell>
        </row>
        <row r="315">
          <cell r="B315" t="str">
            <v>Monsanto India Ltd.</v>
          </cell>
        </row>
        <row r="316">
          <cell r="B316" t="str">
            <v>Morepen Laboratories Ltd.</v>
          </cell>
        </row>
        <row r="317">
          <cell r="B317" t="str">
            <v>Moser-Baer (India) Ltd.</v>
          </cell>
        </row>
        <row r="318">
          <cell r="B318" t="str">
            <v>Motherson Sumi Systems Ltd.</v>
          </cell>
        </row>
        <row r="319">
          <cell r="B319" t="str">
            <v>Motor Industries Co. Ltd.</v>
          </cell>
        </row>
        <row r="320">
          <cell r="B320" t="str">
            <v>Mphasis BFL Ltd.</v>
          </cell>
        </row>
        <row r="321">
          <cell r="B321" t="str">
            <v>MRO-TEK Ltd.</v>
          </cell>
        </row>
        <row r="322">
          <cell r="B322" t="str">
            <v>Mukand Engineers Ltd.</v>
          </cell>
        </row>
        <row r="323">
          <cell r="B323" t="str">
            <v>Mukand Ltd.</v>
          </cell>
        </row>
        <row r="324">
          <cell r="B324" t="str">
            <v>Mukta Arts Ltd.</v>
          </cell>
        </row>
        <row r="325">
          <cell r="B325" t="str">
            <v>Munjal Showa Ltd.</v>
          </cell>
        </row>
        <row r="326">
          <cell r="B326" t="str">
            <v>Mysore Cements Ltd.</v>
          </cell>
        </row>
        <row r="327">
          <cell r="B327" t="str">
            <v>Nagarjuna Fertiliser &amp; Chem. Ltd.</v>
          </cell>
        </row>
        <row r="328">
          <cell r="B328" t="str">
            <v>Nahar Exports Ltd.</v>
          </cell>
        </row>
        <row r="329">
          <cell r="B329" t="str">
            <v>Nahar Spinning Mills Ltd.</v>
          </cell>
        </row>
        <row r="330">
          <cell r="B330" t="str">
            <v>Narmada Chematur Petrochemicals Ltd.</v>
          </cell>
        </row>
        <row r="331">
          <cell r="B331" t="str">
            <v>Nath Seeds Ltd.</v>
          </cell>
        </row>
        <row r="332">
          <cell r="B332" t="str">
            <v>National Aluminium Co. Ltd.</v>
          </cell>
        </row>
        <row r="333">
          <cell r="B333" t="str">
            <v>National Organic Chemical Industries Ltd.</v>
          </cell>
        </row>
        <row r="334">
          <cell r="B334" t="str">
            <v>Navneet Publications (India) Ltd.</v>
          </cell>
        </row>
        <row r="335">
          <cell r="B335" t="str">
            <v>Nelco Ltd.</v>
          </cell>
        </row>
        <row r="336">
          <cell r="B336" t="str">
            <v>Nestle India Ltd.</v>
          </cell>
        </row>
        <row r="337">
          <cell r="B337" t="str">
            <v>Neyveli Lignite Corporation Ltd.</v>
          </cell>
        </row>
        <row r="338">
          <cell r="B338" t="str">
            <v>Nicholas Piramal India Ltd.</v>
          </cell>
        </row>
        <row r="339">
          <cell r="B339" t="str">
            <v>NIIT Ltd.</v>
          </cell>
        </row>
        <row r="340">
          <cell r="B340" t="str">
            <v>Nilkamal Plastics Ltd.</v>
          </cell>
        </row>
        <row r="341">
          <cell r="B341" t="str">
            <v>Nirma Ltd.</v>
          </cell>
        </row>
        <row r="342">
          <cell r="B342" t="str">
            <v>Novartis India Ltd.</v>
          </cell>
        </row>
        <row r="343">
          <cell r="B343" t="str">
            <v>NRB Bearings Ltd.</v>
          </cell>
        </row>
        <row r="344">
          <cell r="B344" t="str">
            <v>Oil And Natural Gas Corporation Ltd.</v>
          </cell>
        </row>
        <row r="345">
          <cell r="B345" t="str">
            <v>Oil Country Tubular Ltd.</v>
          </cell>
        </row>
        <row r="346">
          <cell r="B346" t="str">
            <v>Onward Technologies Ltd.</v>
          </cell>
        </row>
        <row r="347">
          <cell r="B347" t="str">
            <v>Orchid Chemicals &amp; Pharmaceuticals</v>
          </cell>
        </row>
        <row r="348">
          <cell r="B348" t="str">
            <v>Oriental Bank Of Commerce</v>
          </cell>
        </row>
        <row r="349">
          <cell r="B349" t="str">
            <v>Oriental Hotels Ltd.</v>
          </cell>
        </row>
        <row r="350">
          <cell r="B350" t="str">
            <v>Oswal Agro Mills Ltd.</v>
          </cell>
        </row>
        <row r="351">
          <cell r="B351" t="str">
            <v>Oswal Chemicals &amp; Fertilizers Ltd.</v>
          </cell>
        </row>
        <row r="352">
          <cell r="B352" t="str">
            <v>Panacea Biotec Ltd.</v>
          </cell>
        </row>
        <row r="353">
          <cell r="B353" t="str">
            <v>Paper Products Ltd.</v>
          </cell>
        </row>
        <row r="354">
          <cell r="B354" t="str">
            <v>Parekh Platinum Ltd.</v>
          </cell>
        </row>
        <row r="355">
          <cell r="B355" t="str">
            <v>Parke Davis (India) Ltd.</v>
          </cell>
        </row>
        <row r="356">
          <cell r="B356" t="str">
            <v>Pentamedia Graphics Ltd.</v>
          </cell>
        </row>
        <row r="357">
          <cell r="B357" t="str">
            <v>Pentasoft Technologies Ltd.</v>
          </cell>
        </row>
        <row r="358">
          <cell r="B358" t="str">
            <v>Pfizer Ltd.</v>
          </cell>
        </row>
        <row r="359">
          <cell r="B359" t="str">
            <v>Pharmacia Healthcare Ltd.</v>
          </cell>
        </row>
        <row r="360">
          <cell r="B360" t="str">
            <v>Philips India Ltd.</v>
          </cell>
        </row>
        <row r="361">
          <cell r="B361" t="str">
            <v>Pidilite Industries Ltd.</v>
          </cell>
        </row>
        <row r="362">
          <cell r="B362" t="str">
            <v>PNB Gilts Ltd.</v>
          </cell>
        </row>
        <row r="363">
          <cell r="B363" t="str">
            <v>Polaris Software Lab Ltd.</v>
          </cell>
        </row>
        <row r="364">
          <cell r="B364" t="str">
            <v>Prism Cement Ltd.</v>
          </cell>
        </row>
        <row r="365">
          <cell r="B365" t="str">
            <v>Priyadarshini Cement Ltd.</v>
          </cell>
        </row>
        <row r="366">
          <cell r="B366" t="str">
            <v>Procter &amp; Gamble Hygiene &amp; Health Care Ltd.</v>
          </cell>
        </row>
        <row r="367">
          <cell r="B367" t="str">
            <v>PSI Data Systems Ltd.</v>
          </cell>
        </row>
        <row r="368">
          <cell r="B368" t="str">
            <v>PSL Holdings Ltd.</v>
          </cell>
        </row>
        <row r="369">
          <cell r="B369" t="str">
            <v>Punjab Anand Lamp Industries Ltd.</v>
          </cell>
        </row>
        <row r="370">
          <cell r="B370" t="str">
            <v>Punjab Communications Ltd.</v>
          </cell>
        </row>
        <row r="371">
          <cell r="B371" t="str">
            <v>Punjab National Bank</v>
          </cell>
        </row>
        <row r="372">
          <cell r="B372" t="str">
            <v>Punjab Tractors Ltd.</v>
          </cell>
        </row>
        <row r="373">
          <cell r="B373" t="str">
            <v>R S Software India Ltd.</v>
          </cell>
        </row>
        <row r="374">
          <cell r="B374" t="str">
            <v>Rain Calcining Ltd.</v>
          </cell>
        </row>
        <row r="375">
          <cell r="B375" t="str">
            <v>Rallis India Ltd.</v>
          </cell>
        </row>
        <row r="376">
          <cell r="B376" t="str">
            <v>Rama Newsprint &amp; Papers Ltd.</v>
          </cell>
        </row>
        <row r="377">
          <cell r="B377" t="str">
            <v>Ramco Systems Ltd.</v>
          </cell>
        </row>
        <row r="378">
          <cell r="B378" t="str">
            <v>Ranbaxy Laboratories Ltd.</v>
          </cell>
        </row>
        <row r="379">
          <cell r="B379" t="str">
            <v>Rashtriya Chemicals &amp; Fertilizers Ltd.</v>
          </cell>
        </row>
        <row r="380">
          <cell r="B380" t="str">
            <v>Rayban Sun Optics India Ltd.</v>
          </cell>
        </row>
        <row r="381">
          <cell r="B381" t="str">
            <v>Raymond Ltd.</v>
          </cell>
        </row>
        <row r="382">
          <cell r="B382" t="str">
            <v>Reliance Capital Ltd.</v>
          </cell>
        </row>
        <row r="383">
          <cell r="B383" t="str">
            <v>Reliance Industrial Infrastructure</v>
          </cell>
        </row>
        <row r="384">
          <cell r="B384" t="str">
            <v>Reliance Industries Ltd.</v>
          </cell>
        </row>
        <row r="385">
          <cell r="B385" t="str">
            <v>Revathi Equipment Ltd.</v>
          </cell>
        </row>
        <row r="386">
          <cell r="B386" t="str">
            <v>Rolta India Ltd.</v>
          </cell>
        </row>
        <row r="387">
          <cell r="B387" t="str">
            <v>Roofit Industries Ltd.</v>
          </cell>
        </row>
        <row r="388">
          <cell r="B388" t="str">
            <v>RPG Cables Ltd.</v>
          </cell>
        </row>
        <row r="389">
          <cell r="B389" t="str">
            <v>RPG Life Sciences Ltd.</v>
          </cell>
        </row>
        <row r="390">
          <cell r="B390" t="str">
            <v>Ruchi Soya Industries Ltd.</v>
          </cell>
        </row>
        <row r="391">
          <cell r="B391" t="str">
            <v>Saint-Gobain Sekurit India Ltd.</v>
          </cell>
        </row>
        <row r="392">
          <cell r="B392" t="str">
            <v>Salora International Ltd.</v>
          </cell>
        </row>
        <row r="393">
          <cell r="B393" t="str">
            <v>Samtel Colour Ltd.</v>
          </cell>
        </row>
        <row r="394">
          <cell r="B394" t="str">
            <v>Saregama India Ltd.</v>
          </cell>
        </row>
        <row r="395">
          <cell r="B395" t="str">
            <v>Satyam Computer Services Ltd.</v>
          </cell>
        </row>
        <row r="396">
          <cell r="B396" t="str">
            <v>Saw Pipes Ltd.</v>
          </cell>
        </row>
        <row r="397">
          <cell r="B397" t="str">
            <v>Sesa Goa Ltd.</v>
          </cell>
        </row>
        <row r="398">
          <cell r="B398" t="str">
            <v>Shasun Chemicals And Drugs Ltd.</v>
          </cell>
        </row>
        <row r="399">
          <cell r="B399" t="str">
            <v>Shaw Wallace &amp; Co. Ltd.</v>
          </cell>
        </row>
        <row r="400">
          <cell r="B400" t="str">
            <v>Shipping Corporation Of India Ltd.</v>
          </cell>
        </row>
        <row r="401">
          <cell r="B401" t="str">
            <v>Shree Cements Ltd.</v>
          </cell>
        </row>
        <row r="402">
          <cell r="B402" t="str">
            <v>Shree Rama Multi-tech Ltd.</v>
          </cell>
        </row>
        <row r="403">
          <cell r="B403" t="str">
            <v>Shyam Telecom Ltd.</v>
          </cell>
        </row>
        <row r="404">
          <cell r="B404" t="str">
            <v>Siemens Ltd.</v>
          </cell>
        </row>
        <row r="405">
          <cell r="B405" t="str">
            <v>Siltap Chemicals Ltd.</v>
          </cell>
        </row>
        <row r="406">
          <cell r="B406" t="str">
            <v>Silverline Technologies Ltd.</v>
          </cell>
        </row>
        <row r="407">
          <cell r="B407" t="str">
            <v>Skanska Cementation India Ltd.</v>
          </cell>
        </row>
        <row r="408">
          <cell r="B408" t="str">
            <v>SKF Bearings (India) Ltd.</v>
          </cell>
        </row>
        <row r="409">
          <cell r="B409" t="str">
            <v>Snowcem India Ltd.</v>
          </cell>
        </row>
        <row r="410">
          <cell r="B410" t="str">
            <v>Solectron Centum Electronics Ltd.</v>
          </cell>
        </row>
        <row r="411">
          <cell r="B411" t="str">
            <v>Sonata Software Ltd.</v>
          </cell>
        </row>
        <row r="412">
          <cell r="B412" t="str">
            <v>Southern Petrochemicals</v>
          </cell>
        </row>
        <row r="413">
          <cell r="B413" t="str">
            <v>SRF Ltd.</v>
          </cell>
        </row>
        <row r="414">
          <cell r="B414" t="str">
            <v>Sri Adhikari Brothers Television Network</v>
          </cell>
        </row>
        <row r="415">
          <cell r="B415" t="str">
            <v>SSI Ltd.</v>
          </cell>
        </row>
        <row r="416">
          <cell r="B416" t="str">
            <v>State Bank Of India</v>
          </cell>
        </row>
        <row r="417">
          <cell r="B417" t="str">
            <v>Steel Authority of India Ltd.</v>
          </cell>
        </row>
        <row r="418">
          <cell r="B418" t="str">
            <v>Sterling Biotech Ltd.</v>
          </cell>
        </row>
        <row r="419">
          <cell r="B419" t="str">
            <v>Sterlite Optical Technoligies Ltd.</v>
          </cell>
        </row>
        <row r="420">
          <cell r="B420" t="str">
            <v>Subex Systems Ltd.</v>
          </cell>
        </row>
        <row r="421">
          <cell r="B421" t="str">
            <v>Sun Earth Ceramics Ltd.</v>
          </cell>
        </row>
        <row r="422">
          <cell r="B422" t="str">
            <v>Sun Pharmaceutical Industries Ltd.</v>
          </cell>
        </row>
        <row r="423">
          <cell r="B423" t="str">
            <v>Sundaram Clayton Ltd.</v>
          </cell>
        </row>
        <row r="424">
          <cell r="B424" t="str">
            <v>Sundram Fasteners Ltd.</v>
          </cell>
        </row>
        <row r="425">
          <cell r="B425" t="str">
            <v>Supreme Industries Ltd.</v>
          </cell>
        </row>
        <row r="426">
          <cell r="B426" t="str">
            <v>Supreme Petrochem Ltd.</v>
          </cell>
        </row>
        <row r="427">
          <cell r="B427" t="str">
            <v>Su-raj Diamonds and Jewellery Ltd.</v>
          </cell>
        </row>
        <row r="428">
          <cell r="B428" t="str">
            <v>Suven Pharmaceuticals Ltd.</v>
          </cell>
        </row>
        <row r="429">
          <cell r="B429" t="str">
            <v>Swaraj Engines Ltd.</v>
          </cell>
        </row>
        <row r="430">
          <cell r="B430" t="str">
            <v>Swaraj Mazda Ltd.</v>
          </cell>
        </row>
        <row r="431">
          <cell r="B431" t="str">
            <v>Syngenta India Ltd.</v>
          </cell>
        </row>
        <row r="432">
          <cell r="B432" t="str">
            <v>Tamil Nadu Newsprint And Papers Ltd.</v>
          </cell>
        </row>
        <row r="433">
          <cell r="B433" t="str">
            <v>Tamilnadu Petroproducts Ltd.</v>
          </cell>
        </row>
        <row r="434">
          <cell r="B434" t="str">
            <v>Tata Chemicals Ltd.</v>
          </cell>
        </row>
        <row r="435">
          <cell r="B435" t="str">
            <v>Tata Elxsi Ltd.</v>
          </cell>
        </row>
        <row r="436">
          <cell r="B436" t="str">
            <v>Tata Engg. &amp; Loco. Co. Ltd.</v>
          </cell>
        </row>
        <row r="437">
          <cell r="B437" t="str">
            <v>Tata Finance Ltd.</v>
          </cell>
        </row>
        <row r="438">
          <cell r="B438" t="str">
            <v>Tata Honeywell Ltd.</v>
          </cell>
        </row>
        <row r="439">
          <cell r="B439" t="str">
            <v>Tata Infomedia Ltd.</v>
          </cell>
        </row>
        <row r="440">
          <cell r="B440" t="str">
            <v>Tata Infotech Ltd.</v>
          </cell>
        </row>
        <row r="441">
          <cell r="B441" t="str">
            <v>Tata Investment Corporation Ltd.</v>
          </cell>
        </row>
        <row r="442">
          <cell r="B442" t="str">
            <v>Tata Iron &amp; Steel Co. Ltd.</v>
          </cell>
        </row>
        <row r="443">
          <cell r="B443" t="str">
            <v>Tata Power Co. Ltd.</v>
          </cell>
        </row>
        <row r="444">
          <cell r="B444" t="str">
            <v>Tata Tea Ltd.</v>
          </cell>
        </row>
        <row r="445">
          <cell r="B445" t="str">
            <v>Tata Telecom Ltd.</v>
          </cell>
        </row>
        <row r="446">
          <cell r="B446" t="str">
            <v>Tata Teleservices (Maharashtra) Ltd.</v>
          </cell>
        </row>
        <row r="447">
          <cell r="B447" t="str">
            <v>Television Eighteen India Ltd.</v>
          </cell>
        </row>
        <row r="448">
          <cell r="B448" t="str">
            <v>Thermax Ltd.</v>
          </cell>
        </row>
        <row r="449">
          <cell r="B449" t="str">
            <v>Thirumalai Chemicals Ltd.</v>
          </cell>
        </row>
        <row r="450">
          <cell r="B450" t="str">
            <v>Thomas Cook (India) Ltd.</v>
          </cell>
        </row>
        <row r="451">
          <cell r="B451" t="str">
            <v>Timex Watches Ltd.</v>
          </cell>
        </row>
        <row r="452">
          <cell r="B452" t="str">
            <v>Timken India Ltd.</v>
          </cell>
        </row>
        <row r="453">
          <cell r="B453" t="str">
            <v>Tips Industries Ltd.</v>
          </cell>
        </row>
        <row r="454">
          <cell r="B454" t="str">
            <v>Titan Industries Ltd.</v>
          </cell>
        </row>
        <row r="455">
          <cell r="B455" t="str">
            <v>Torrent Pharmaceuticals Ltd.</v>
          </cell>
        </row>
        <row r="456">
          <cell r="B456" t="str">
            <v>Tourism Finance Corpn. Of India Ltd.</v>
          </cell>
        </row>
        <row r="457">
          <cell r="B457" t="str">
            <v>Trent Ltd.</v>
          </cell>
        </row>
        <row r="458">
          <cell r="B458" t="str">
            <v>Trigyn Technologies Ltd.</v>
          </cell>
        </row>
        <row r="459">
          <cell r="B459" t="str">
            <v>Tube Investments of India Ltd.</v>
          </cell>
        </row>
        <row r="460">
          <cell r="B460" t="str">
            <v>TVS Electronics Ltd.</v>
          </cell>
        </row>
        <row r="461">
          <cell r="B461" t="str">
            <v>TVS Motor Company Ltd.</v>
          </cell>
        </row>
        <row r="462">
          <cell r="B462" t="str">
            <v>Ultramarine &amp; Pigments Ltd.</v>
          </cell>
        </row>
        <row r="463">
          <cell r="B463" t="str">
            <v>Unichem Laboratories Ltd.</v>
          </cell>
        </row>
        <row r="464">
          <cell r="B464" t="str">
            <v>Union Bank of India</v>
          </cell>
        </row>
        <row r="465">
          <cell r="B465" t="str">
            <v>Unitech Ltd.</v>
          </cell>
        </row>
        <row r="466">
          <cell r="B466" t="str">
            <v>United Breweries Ltd.</v>
          </cell>
        </row>
        <row r="467">
          <cell r="B467" t="str">
            <v>United Phosphorus Ltd.</v>
          </cell>
        </row>
        <row r="468">
          <cell r="B468" t="str">
            <v>Usha Beltron Ltd.</v>
          </cell>
        </row>
        <row r="469">
          <cell r="B469" t="str">
            <v>UTI Bank Ltd.</v>
          </cell>
        </row>
        <row r="470">
          <cell r="B470" t="str">
            <v>V.I.P. Industries Ltd.</v>
          </cell>
        </row>
        <row r="471">
          <cell r="B471" t="str">
            <v>Vardhaman Spinning &amp; Gen. Mills Ltd.</v>
          </cell>
        </row>
        <row r="472">
          <cell r="B472" t="str">
            <v>Varun Shipping Co. Ltd.</v>
          </cell>
        </row>
        <row r="473">
          <cell r="B473" t="str">
            <v>Vashisti Detergents Ltd.</v>
          </cell>
        </row>
        <row r="474">
          <cell r="B474" t="str">
            <v>Venkys (India) Ltd.</v>
          </cell>
        </row>
        <row r="475">
          <cell r="B475" t="str">
            <v>Vesuvius India Ltd.</v>
          </cell>
        </row>
        <row r="476">
          <cell r="B476" t="str">
            <v>Videocon Appliances Ltd.</v>
          </cell>
        </row>
        <row r="477">
          <cell r="B477" t="str">
            <v>Videocon International Ltd.</v>
          </cell>
        </row>
        <row r="478">
          <cell r="B478" t="str">
            <v>Videsh Sanchar Nigam Ltd.</v>
          </cell>
        </row>
        <row r="479">
          <cell r="B479" t="str">
            <v>Vikas WSP Ltd.</v>
          </cell>
        </row>
        <row r="480">
          <cell r="B480" t="str">
            <v>Vindhya Telelinks Ltd.</v>
          </cell>
        </row>
        <row r="481">
          <cell r="B481" t="str">
            <v>Visualsoft Technologies Ltd.</v>
          </cell>
        </row>
        <row r="482">
          <cell r="B482" t="str">
            <v>Voltas Ltd.</v>
          </cell>
        </row>
        <row r="483">
          <cell r="B483" t="str">
            <v>VST Industries Ltd.</v>
          </cell>
        </row>
        <row r="484">
          <cell r="B484" t="str">
            <v>Vysya Bank Ltd.</v>
          </cell>
        </row>
        <row r="485">
          <cell r="B485" t="str">
            <v>Warren Tea Ltd.</v>
          </cell>
        </row>
        <row r="486">
          <cell r="B486" t="str">
            <v>Wartsila India Ltd.</v>
          </cell>
        </row>
        <row r="487">
          <cell r="B487" t="str">
            <v>Welspun -Gujarat Stahl Rohren Ltd.</v>
          </cell>
        </row>
        <row r="488">
          <cell r="B488" t="str">
            <v>Welspun India Ltd.</v>
          </cell>
        </row>
        <row r="489">
          <cell r="B489" t="str">
            <v>Whirlpool of India Ltd.</v>
          </cell>
        </row>
        <row r="490">
          <cell r="B490" t="str">
            <v>Widia (india) Ltd.</v>
          </cell>
        </row>
        <row r="491">
          <cell r="B491" t="str">
            <v>Wimco Ltd.</v>
          </cell>
        </row>
        <row r="492">
          <cell r="B492" t="str">
            <v>Wipro Ltd.</v>
          </cell>
        </row>
        <row r="493">
          <cell r="B493" t="str">
            <v>Wockhardt Life Sciences Ltd.</v>
          </cell>
        </row>
        <row r="494">
          <cell r="B494" t="str">
            <v>Wockhardt Ltd.</v>
          </cell>
        </row>
        <row r="495">
          <cell r="B495" t="str">
            <v>Wyeth Lederle Ltd.</v>
          </cell>
        </row>
        <row r="496">
          <cell r="B496" t="str">
            <v>Yokogawa Blue Star Ltd.</v>
          </cell>
        </row>
        <row r="497">
          <cell r="B497" t="str">
            <v>Zandu Pharmaceuticals Works Ltd.</v>
          </cell>
        </row>
        <row r="498">
          <cell r="B498" t="str">
            <v>Zee Telefilms Ltd.</v>
          </cell>
        </row>
        <row r="499">
          <cell r="B499" t="str">
            <v>Zensar Technologies Ltd.</v>
          </cell>
        </row>
        <row r="500">
          <cell r="B500" t="str">
            <v>Zuari Industries Ltd.</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PLANT MACHINERY"/>
      <sheetName val="FURNITURE"/>
      <sheetName val="VEHICLE"/>
      <sheetName val="ASSET_ADD"/>
      <sheetName val="Asset Schedule"/>
      <sheetName val="ASSET_SCHEDULE Tiljala"/>
      <sheetName val="L"/>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PLANT MACHINERY"/>
      <sheetName val="FURNITURE"/>
      <sheetName val="VEHICLE"/>
      <sheetName val="ASSET_ADD"/>
      <sheetName val="Asset Schedule"/>
      <sheetName val="ASSET_SCHEDULE Tiljala"/>
      <sheetName val="L"/>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PLANT MACHINERY"/>
      <sheetName val="FURNITURE"/>
      <sheetName val="VEHICLE"/>
      <sheetName val="ASSET_ADD"/>
      <sheetName val="Asset Schedule"/>
      <sheetName val="ASSET_SCHEDULE Tiljala"/>
      <sheetName val="L"/>
      <sheetName val="PLANT_MACHINERY"/>
      <sheetName val="Asset_Schedule"/>
      <sheetName val="ASSET_SCHEDULE_Tiljala"/>
      <sheetName val="PLANT_MACHINERY1"/>
      <sheetName val="Asset_Schedule1"/>
      <sheetName val="ASSET_SCHEDULE_Tiljala1"/>
      <sheetName val="PLANT_MACHINERY2"/>
      <sheetName val="Asset_Schedule2"/>
      <sheetName val="ASSET_SCHEDULE_Tiljal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PLANT MACHINERY"/>
      <sheetName val="FURNITURE"/>
      <sheetName val="VEHICLE"/>
      <sheetName val="ASSET_ADD"/>
      <sheetName val="Asset Schedule"/>
      <sheetName val="ASSET_SCHEDULE Tiljala"/>
      <sheetName val="L"/>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 val="Related_Parties1"/>
      <sheetName val="VARIANCE_ANALYSIS_1"/>
      <sheetName val="Sch_1-41"/>
      <sheetName val="Sch_12_&amp;131"/>
      <sheetName val="P&amp;L_Sch_14-161"/>
      <sheetName val="P&amp;L_Sch_17-191"/>
      <sheetName val="Data_Entry1"/>
      <sheetName val="TRIAL_BALANCE_(2)1"/>
      <sheetName val="TRIAL_BALANCE1"/>
      <sheetName val="TB_Download1"/>
      <sheetName val="CC_wise_Download1"/>
      <sheetName val="SIF_P&amp;L_BS1"/>
      <sheetName val="SIF_P&amp;L1"/>
      <sheetName val="SIF_Workings1"/>
      <sheetName val="SIF_Results_Back_up1"/>
      <sheetName val="Related_Parties"/>
      <sheetName val="VARIANCE_ANALYSIS_"/>
      <sheetName val="Sch_1-4"/>
      <sheetName val="Sch_12_&amp;13"/>
      <sheetName val="P&amp;L_Sch_14-16"/>
      <sheetName val="P&amp;L_Sch_17-19"/>
      <sheetName val="Data_Entry"/>
      <sheetName val="TRIAL_BALANCE_(2)"/>
      <sheetName val="TRIAL_BALANCE"/>
      <sheetName val="TB_Download"/>
      <sheetName val="CC_wise_Download"/>
      <sheetName val="SIF_P&amp;L_BS"/>
      <sheetName val="SIF_P&amp;L"/>
      <sheetName val="SIF_Workings"/>
      <sheetName val="SIF_Results_Back_up"/>
      <sheetName val="Related_Parties2"/>
      <sheetName val="VARIANCE_ANALYSIS_2"/>
      <sheetName val="Sch_1-42"/>
      <sheetName val="Sch_12_&amp;132"/>
      <sheetName val="P&amp;L_Sch_14-162"/>
      <sheetName val="P&amp;L_Sch_17-192"/>
      <sheetName val="Data_Entry2"/>
      <sheetName val="TRIAL_BALANCE_(2)2"/>
      <sheetName val="TRIAL_BALANCE2"/>
      <sheetName val="TB_Download2"/>
      <sheetName val="CC_wise_Download2"/>
      <sheetName val="SIF_P&amp;L_BS2"/>
      <sheetName val="SIF_P&amp;L2"/>
      <sheetName val="SIF_Workings2"/>
      <sheetName val="SIF_Results_Back_u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an Jvmar06"/>
      <sheetName val="BS"/>
      <sheetName val="cashflow"/>
      <sheetName val="PL"/>
      <sheetName val="Schedules"/>
      <sheetName val="FA schedule"/>
      <sheetName val="Sch22"/>
      <sheetName val="Inv"/>
      <sheetName val="BS sub sh"/>
      <sheetName val="Invest. thousand"/>
      <sheetName val="Investments"/>
      <sheetName val="pubres"/>
      <sheetName val="Sheet1"/>
      <sheetName val="Income"/>
      <sheetName val="Exp"/>
      <sheetName val="Leave encashement"/>
      <sheetName val="TB APJ"/>
      <sheetName val="Variance"/>
      <sheetName val="vari-1"/>
      <sheetName val="TB WORLI"/>
      <sheetName val="deftax"/>
      <sheetName val="Quar ABNL"/>
      <sheetName val="it depr."/>
      <sheetName val="FASCHEDULE"/>
      <sheetName val="G SecST&amp;LT "/>
      <sheetName val="itcomp"/>
      <sheetName val="ratio analysi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8">
          <cell r="B48">
            <v>0</v>
          </cell>
        </row>
        <row r="109">
          <cell r="B109">
            <v>-100000</v>
          </cell>
        </row>
        <row r="125">
          <cell r="B125">
            <v>0</v>
          </cell>
        </row>
        <row r="131">
          <cell r="B131">
            <v>-37516</v>
          </cell>
        </row>
      </sheetData>
      <sheetData sheetId="17" refreshError="1"/>
      <sheetData sheetId="18" refreshError="1"/>
      <sheetData sheetId="19">
        <row r="8">
          <cell r="B8">
            <v>-21000</v>
          </cell>
        </row>
        <row r="18">
          <cell r="B18">
            <v>0</v>
          </cell>
        </row>
        <row r="22">
          <cell r="B22">
            <v>0</v>
          </cell>
        </row>
        <row r="23">
          <cell r="B23">
            <v>0</v>
          </cell>
        </row>
        <row r="33">
          <cell r="B33">
            <v>158708</v>
          </cell>
        </row>
        <row r="43">
          <cell r="B43">
            <v>-71843</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an Jvmar06"/>
      <sheetName val="BS"/>
      <sheetName val="cashflow"/>
      <sheetName val="PL"/>
      <sheetName val="Schedules"/>
      <sheetName val="FA schedule"/>
      <sheetName val="Sch22"/>
      <sheetName val="BS sub sh"/>
      <sheetName val="Invest. thousand"/>
      <sheetName val="Investments"/>
      <sheetName val="pubres"/>
      <sheetName val="Sheet1"/>
      <sheetName val="Income"/>
      <sheetName val="Exp"/>
      <sheetName val="Leave encashement"/>
      <sheetName val="TB APJ"/>
      <sheetName val="TB WORLI"/>
      <sheetName val="deftax"/>
      <sheetName val="Quar ABNL"/>
      <sheetName val="it depr."/>
      <sheetName val="FASCHEDULE"/>
      <sheetName val="G SecST&amp;LT "/>
      <sheetName val="itcomp"/>
      <sheetName val="ratio analysis"/>
      <sheetName val="Hyperian_Jvmar061"/>
      <sheetName val="FA_schedule1"/>
      <sheetName val="BS_sub_sh1"/>
      <sheetName val="Invest__thousand1"/>
      <sheetName val="Leave_encashement1"/>
      <sheetName val="TB_APJ1"/>
      <sheetName val="TB_WORLI1"/>
      <sheetName val="Quar_ABNL1"/>
      <sheetName val="it_depr_1"/>
      <sheetName val="G_SecST&amp;LT_1"/>
      <sheetName val="ratio_analysis1"/>
      <sheetName val="Hyperian_Jvmar06"/>
      <sheetName val="FA_schedule"/>
      <sheetName val="BS_sub_sh"/>
      <sheetName val="Invest__thousand"/>
      <sheetName val="Leave_encashement"/>
      <sheetName val="TB_APJ"/>
      <sheetName val="TB_WORLI"/>
      <sheetName val="Quar_ABNL"/>
      <sheetName val="it_depr_"/>
      <sheetName val="G_SecST&amp;LT_"/>
      <sheetName val="ratio_analysis"/>
      <sheetName val="Hyperian_Jvmar062"/>
      <sheetName val="FA_schedule2"/>
      <sheetName val="BS_sub_sh2"/>
      <sheetName val="Invest__thousand2"/>
      <sheetName val="Leave_encashement2"/>
      <sheetName val="TB_APJ2"/>
      <sheetName val="TB_WORLI2"/>
      <sheetName val="Quar_ABNL2"/>
      <sheetName val="it_depr_2"/>
      <sheetName val="G_SecST&amp;LT_2"/>
      <sheetName val="ratio_analysi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v>223033</v>
          </cell>
        </row>
        <row r="8">
          <cell r="B8">
            <v>-14075776</v>
          </cell>
        </row>
        <row r="9">
          <cell r="B9">
            <v>-3626817</v>
          </cell>
        </row>
        <row r="10">
          <cell r="B10">
            <v>1</v>
          </cell>
        </row>
        <row r="11">
          <cell r="B11">
            <v>1024285</v>
          </cell>
        </row>
        <row r="12">
          <cell r="B12">
            <v>-1187413</v>
          </cell>
        </row>
        <row r="13">
          <cell r="B13">
            <v>16168</v>
          </cell>
        </row>
        <row r="16">
          <cell r="B16">
            <v>34700058</v>
          </cell>
        </row>
        <row r="17">
          <cell r="B17">
            <v>5266138</v>
          </cell>
        </row>
        <row r="20">
          <cell r="B20">
            <v>0</v>
          </cell>
        </row>
        <row r="21">
          <cell r="B21">
            <v>0</v>
          </cell>
        </row>
        <row r="22">
          <cell r="B22">
            <v>100</v>
          </cell>
        </row>
        <row r="23">
          <cell r="B23">
            <v>29874</v>
          </cell>
        </row>
        <row r="25">
          <cell r="B25">
            <v>16450</v>
          </cell>
        </row>
        <row r="26">
          <cell r="B26">
            <v>12371</v>
          </cell>
        </row>
        <row r="27">
          <cell r="B27">
            <v>0</v>
          </cell>
        </row>
        <row r="28">
          <cell r="B28">
            <v>41076</v>
          </cell>
        </row>
        <row r="29">
          <cell r="B29">
            <v>4060</v>
          </cell>
        </row>
        <row r="31">
          <cell r="B31">
            <v>3619772</v>
          </cell>
        </row>
        <row r="32">
          <cell r="B32">
            <v>97</v>
          </cell>
        </row>
        <row r="34">
          <cell r="B34">
            <v>6193912</v>
          </cell>
        </row>
        <row r="36">
          <cell r="B36">
            <v>-131</v>
          </cell>
        </row>
        <row r="37">
          <cell r="B37">
            <v>0</v>
          </cell>
        </row>
        <row r="38">
          <cell r="B38">
            <v>65277</v>
          </cell>
        </row>
        <row r="39">
          <cell r="B39">
            <v>-7184</v>
          </cell>
        </row>
        <row r="40">
          <cell r="B40">
            <v>90000</v>
          </cell>
        </row>
        <row r="41">
          <cell r="B41">
            <v>7688110</v>
          </cell>
        </row>
        <row r="42">
          <cell r="B42">
            <v>60119</v>
          </cell>
        </row>
        <row r="43">
          <cell r="B43">
            <v>0</v>
          </cell>
        </row>
        <row r="44">
          <cell r="B44">
            <v>1701</v>
          </cell>
        </row>
        <row r="45">
          <cell r="B45">
            <v>4000</v>
          </cell>
        </row>
        <row r="46">
          <cell r="B46">
            <v>22478</v>
          </cell>
        </row>
        <row r="47">
          <cell r="B47">
            <v>642021383</v>
          </cell>
        </row>
        <row r="48">
          <cell r="B48">
            <v>98610542</v>
          </cell>
        </row>
        <row r="49">
          <cell r="B49">
            <v>555957</v>
          </cell>
        </row>
        <row r="50">
          <cell r="B50">
            <v>158887121</v>
          </cell>
        </row>
        <row r="51">
          <cell r="B51">
            <v>24487685</v>
          </cell>
        </row>
        <row r="52">
          <cell r="B52">
            <v>1407218</v>
          </cell>
        </row>
        <row r="53">
          <cell r="B53">
            <v>60153</v>
          </cell>
        </row>
        <row r="54">
          <cell r="B54">
            <v>89830</v>
          </cell>
        </row>
        <row r="55">
          <cell r="B55">
            <v>82901</v>
          </cell>
        </row>
        <row r="56">
          <cell r="B56">
            <v>25245532</v>
          </cell>
        </row>
        <row r="57">
          <cell r="B57">
            <v>0</v>
          </cell>
        </row>
        <row r="58">
          <cell r="B58">
            <v>15000000</v>
          </cell>
        </row>
        <row r="59">
          <cell r="B59">
            <v>7549</v>
          </cell>
        </row>
        <row r="60">
          <cell r="B60">
            <v>0</v>
          </cell>
        </row>
        <row r="61">
          <cell r="B61">
            <v>7133</v>
          </cell>
        </row>
        <row r="63">
          <cell r="B63">
            <v>0</v>
          </cell>
        </row>
        <row r="64">
          <cell r="B64">
            <v>58788</v>
          </cell>
        </row>
        <row r="65">
          <cell r="B65">
            <v>863466</v>
          </cell>
        </row>
        <row r="67">
          <cell r="B67">
            <v>524581</v>
          </cell>
        </row>
        <row r="68">
          <cell r="B68">
            <v>1748476</v>
          </cell>
        </row>
        <row r="69">
          <cell r="B69">
            <v>9222968</v>
          </cell>
        </row>
        <row r="70">
          <cell r="B70">
            <v>18292</v>
          </cell>
        </row>
        <row r="71">
          <cell r="B71">
            <v>185709</v>
          </cell>
        </row>
        <row r="72">
          <cell r="B72">
            <v>280000</v>
          </cell>
        </row>
        <row r="73">
          <cell r="B73">
            <v>95861</v>
          </cell>
        </row>
        <row r="74">
          <cell r="B74">
            <v>2767500</v>
          </cell>
        </row>
        <row r="75">
          <cell r="B75">
            <v>990216</v>
          </cell>
        </row>
        <row r="76">
          <cell r="B76">
            <v>73089853</v>
          </cell>
        </row>
        <row r="77">
          <cell r="B77">
            <v>215507</v>
          </cell>
        </row>
        <row r="78">
          <cell r="B78">
            <v>12443423</v>
          </cell>
        </row>
        <row r="79">
          <cell r="B79">
            <v>307410</v>
          </cell>
        </row>
        <row r="80">
          <cell r="B80">
            <v>11896</v>
          </cell>
        </row>
        <row r="81">
          <cell r="B81">
            <v>2056613</v>
          </cell>
        </row>
        <row r="83">
          <cell r="B83">
            <v>13844</v>
          </cell>
        </row>
        <row r="84">
          <cell r="B84">
            <v>2500</v>
          </cell>
        </row>
        <row r="85">
          <cell r="B85">
            <v>819146</v>
          </cell>
        </row>
        <row r="86">
          <cell r="B86">
            <v>105832</v>
          </cell>
        </row>
        <row r="87">
          <cell r="B87">
            <v>75314592</v>
          </cell>
        </row>
        <row r="88">
          <cell r="B88">
            <v>7784730</v>
          </cell>
        </row>
        <row r="89">
          <cell r="B89">
            <v>70000</v>
          </cell>
        </row>
        <row r="90">
          <cell r="B90">
            <v>2312914</v>
          </cell>
        </row>
        <row r="91">
          <cell r="B91">
            <v>463966</v>
          </cell>
        </row>
        <row r="92">
          <cell r="B92">
            <v>829235</v>
          </cell>
        </row>
        <row r="93">
          <cell r="B93">
            <v>663771</v>
          </cell>
        </row>
        <row r="94">
          <cell r="B94">
            <v>427226</v>
          </cell>
        </row>
        <row r="95">
          <cell r="B95">
            <v>59205</v>
          </cell>
        </row>
        <row r="96">
          <cell r="B96">
            <v>55228</v>
          </cell>
        </row>
        <row r="97">
          <cell r="B97">
            <v>1095106</v>
          </cell>
        </row>
        <row r="98">
          <cell r="B98">
            <v>19715</v>
          </cell>
        </row>
        <row r="99">
          <cell r="B99">
            <v>733246</v>
          </cell>
        </row>
        <row r="100">
          <cell r="B100">
            <v>12221</v>
          </cell>
        </row>
        <row r="101">
          <cell r="B101">
            <v>2180155</v>
          </cell>
        </row>
        <row r="102">
          <cell r="B102">
            <v>1282947</v>
          </cell>
        </row>
        <row r="103">
          <cell r="B103">
            <v>1207633</v>
          </cell>
        </row>
        <row r="104">
          <cell r="B104">
            <v>67847</v>
          </cell>
        </row>
        <row r="105">
          <cell r="B105">
            <v>5134259</v>
          </cell>
        </row>
        <row r="106">
          <cell r="B106">
            <v>118000</v>
          </cell>
        </row>
        <row r="107">
          <cell r="B107">
            <v>2500000</v>
          </cell>
        </row>
        <row r="108">
          <cell r="B108">
            <v>51871</v>
          </cell>
        </row>
        <row r="109">
          <cell r="B109">
            <v>1021478</v>
          </cell>
        </row>
        <row r="110">
          <cell r="B110">
            <v>1599610</v>
          </cell>
        </row>
        <row r="111">
          <cell r="B111">
            <v>1428403</v>
          </cell>
        </row>
        <row r="112">
          <cell r="B112">
            <v>860</v>
          </cell>
        </row>
        <row r="113">
          <cell r="B113">
            <v>2069</v>
          </cell>
        </row>
        <row r="114">
          <cell r="B114">
            <v>1437125</v>
          </cell>
        </row>
        <row r="115">
          <cell r="B115">
            <v>143406</v>
          </cell>
        </row>
        <row r="116">
          <cell r="B116">
            <v>0</v>
          </cell>
        </row>
        <row r="117">
          <cell r="B117">
            <v>2354001</v>
          </cell>
        </row>
        <row r="118">
          <cell r="B118">
            <v>322353</v>
          </cell>
        </row>
        <row r="119">
          <cell r="B119">
            <v>27695497</v>
          </cell>
        </row>
        <row r="120">
          <cell r="B120">
            <v>3462703</v>
          </cell>
        </row>
        <row r="121">
          <cell r="B121">
            <v>1063728</v>
          </cell>
        </row>
        <row r="122">
          <cell r="B122">
            <v>698981</v>
          </cell>
        </row>
        <row r="123">
          <cell r="B123">
            <v>5946304</v>
          </cell>
        </row>
        <row r="124">
          <cell r="B124">
            <v>86375</v>
          </cell>
        </row>
        <row r="125">
          <cell r="B125">
            <v>178221</v>
          </cell>
        </row>
        <row r="126">
          <cell r="B126">
            <v>42477</v>
          </cell>
        </row>
        <row r="127">
          <cell r="B127">
            <v>16044</v>
          </cell>
        </row>
        <row r="128">
          <cell r="B128">
            <v>991671</v>
          </cell>
        </row>
        <row r="129">
          <cell r="B129">
            <v>49625</v>
          </cell>
        </row>
        <row r="130">
          <cell r="B130">
            <v>71929</v>
          </cell>
        </row>
        <row r="131">
          <cell r="B131">
            <v>500000</v>
          </cell>
        </row>
        <row r="132">
          <cell r="B132">
            <v>14372</v>
          </cell>
        </row>
        <row r="133">
          <cell r="B133">
            <v>159378</v>
          </cell>
        </row>
        <row r="134">
          <cell r="B134">
            <v>1234528</v>
          </cell>
        </row>
        <row r="135">
          <cell r="B135">
            <v>118222</v>
          </cell>
        </row>
        <row r="136">
          <cell r="B136">
            <v>843583</v>
          </cell>
        </row>
        <row r="137">
          <cell r="B137">
            <v>1012608</v>
          </cell>
        </row>
        <row r="138">
          <cell r="B138">
            <v>11495433</v>
          </cell>
        </row>
        <row r="139">
          <cell r="B139">
            <v>76450</v>
          </cell>
        </row>
        <row r="140">
          <cell r="B140">
            <v>3411</v>
          </cell>
        </row>
        <row r="141">
          <cell r="B141">
            <v>600396</v>
          </cell>
        </row>
        <row r="142">
          <cell r="B142">
            <v>1799691</v>
          </cell>
        </row>
        <row r="143">
          <cell r="B143">
            <v>3885</v>
          </cell>
        </row>
        <row r="144">
          <cell r="B144">
            <v>1148942</v>
          </cell>
        </row>
        <row r="145">
          <cell r="B145">
            <v>0</v>
          </cell>
        </row>
        <row r="146">
          <cell r="B146">
            <v>13475</v>
          </cell>
        </row>
        <row r="147">
          <cell r="B147">
            <v>-118615</v>
          </cell>
        </row>
        <row r="148">
          <cell r="B148">
            <v>-2159187</v>
          </cell>
        </row>
        <row r="149">
          <cell r="B149">
            <v>-632184</v>
          </cell>
        </row>
        <row r="150">
          <cell r="B150">
            <v>-2250000</v>
          </cell>
        </row>
        <row r="151">
          <cell r="B151">
            <v>-11967</v>
          </cell>
        </row>
        <row r="152">
          <cell r="B152">
            <v>-361641</v>
          </cell>
        </row>
        <row r="153">
          <cell r="B153">
            <v>-6446036</v>
          </cell>
        </row>
        <row r="154">
          <cell r="B154">
            <v>-761774</v>
          </cell>
        </row>
        <row r="155">
          <cell r="B155">
            <v>-22500431</v>
          </cell>
        </row>
        <row r="156">
          <cell r="B156">
            <v>-8570</v>
          </cell>
        </row>
        <row r="157">
          <cell r="B157">
            <v>-148856</v>
          </cell>
        </row>
        <row r="158">
          <cell r="B158">
            <v>-4864844</v>
          </cell>
        </row>
        <row r="159">
          <cell r="B159">
            <v>-61792</v>
          </cell>
        </row>
        <row r="160">
          <cell r="B160">
            <v>-41825000</v>
          </cell>
        </row>
        <row r="161">
          <cell r="B161">
            <v>-392910</v>
          </cell>
        </row>
        <row r="162">
          <cell r="B162">
            <v>-37828192</v>
          </cell>
        </row>
        <row r="163">
          <cell r="B163">
            <v>-30311</v>
          </cell>
        </row>
        <row r="164">
          <cell r="B164">
            <v>-1610112</v>
          </cell>
        </row>
        <row r="165">
          <cell r="B165">
            <v>-116726</v>
          </cell>
        </row>
        <row r="166">
          <cell r="B166">
            <v>-9278071</v>
          </cell>
        </row>
        <row r="167">
          <cell r="B167">
            <v>0</v>
          </cell>
        </row>
        <row r="168">
          <cell r="B168">
            <v>-197037552</v>
          </cell>
        </row>
        <row r="169">
          <cell r="B169">
            <v>-3218707</v>
          </cell>
        </row>
        <row r="170">
          <cell r="B170">
            <v>-8447</v>
          </cell>
        </row>
        <row r="171">
          <cell r="B171">
            <v>-2311023</v>
          </cell>
        </row>
        <row r="172">
          <cell r="B172">
            <v>296941</v>
          </cell>
        </row>
        <row r="173">
          <cell r="B173">
            <v>-675162</v>
          </cell>
        </row>
        <row r="174">
          <cell r="B174">
            <v>-601334</v>
          </cell>
        </row>
        <row r="175">
          <cell r="B175">
            <v>-143386</v>
          </cell>
        </row>
        <row r="176">
          <cell r="B176">
            <v>0</v>
          </cell>
        </row>
        <row r="177">
          <cell r="B177">
            <v>-18170540</v>
          </cell>
        </row>
        <row r="178">
          <cell r="B178">
            <v>0</v>
          </cell>
        </row>
        <row r="179">
          <cell r="B179">
            <v>-220120</v>
          </cell>
        </row>
        <row r="180">
          <cell r="B180">
            <v>116</v>
          </cell>
        </row>
        <row r="181">
          <cell r="B181">
            <v>-3500</v>
          </cell>
        </row>
        <row r="182">
          <cell r="B182">
            <v>-169978</v>
          </cell>
        </row>
        <row r="183">
          <cell r="B183">
            <v>-250000</v>
          </cell>
        </row>
        <row r="184">
          <cell r="B184">
            <v>-524634</v>
          </cell>
        </row>
        <row r="185">
          <cell r="B185">
            <v>-188932</v>
          </cell>
        </row>
        <row r="188">
          <cell r="B188">
            <v>-12715</v>
          </cell>
        </row>
        <row r="189">
          <cell r="B189">
            <v>-2970</v>
          </cell>
        </row>
        <row r="192">
          <cell r="B192">
            <v>0</v>
          </cell>
        </row>
        <row r="194">
          <cell r="B194">
            <v>-1437819</v>
          </cell>
        </row>
        <row r="195">
          <cell r="B195">
            <v>-7396</v>
          </cell>
        </row>
        <row r="199">
          <cell r="B199">
            <v>-9788065</v>
          </cell>
        </row>
        <row r="200">
          <cell r="B200">
            <v>712093462</v>
          </cell>
        </row>
        <row r="201">
          <cell r="B201">
            <v>-792759031</v>
          </cell>
        </row>
        <row r="202">
          <cell r="B202">
            <v>-750000000</v>
          </cell>
        </row>
        <row r="204">
          <cell r="B204">
            <v>54397</v>
          </cell>
        </row>
        <row r="205">
          <cell r="B205">
            <v>-3086589</v>
          </cell>
        </row>
        <row r="207">
          <cell r="B207">
            <v>17241</v>
          </cell>
        </row>
        <row r="208">
          <cell r="B208">
            <v>-31816</v>
          </cell>
        </row>
        <row r="209">
          <cell r="B209">
            <v>-5991</v>
          </cell>
        </row>
        <row r="210">
          <cell r="B210">
            <v>-62117</v>
          </cell>
        </row>
        <row r="211">
          <cell r="B211">
            <v>-194704</v>
          </cell>
        </row>
        <row r="212">
          <cell r="B212">
            <v>-6</v>
          </cell>
        </row>
        <row r="213">
          <cell r="B213">
            <v>-2158985</v>
          </cell>
        </row>
        <row r="214">
          <cell r="B214">
            <v>-80807</v>
          </cell>
        </row>
        <row r="215">
          <cell r="B215">
            <v>-746107</v>
          </cell>
        </row>
        <row r="216">
          <cell r="B216">
            <v>-15072000</v>
          </cell>
        </row>
        <row r="217">
          <cell r="B217">
            <v>-924996</v>
          </cell>
        </row>
        <row r="218">
          <cell r="B218">
            <v>-9047964</v>
          </cell>
        </row>
        <row r="219">
          <cell r="B219">
            <v>-400</v>
          </cell>
        </row>
        <row r="220">
          <cell r="B220">
            <v>-50552718</v>
          </cell>
        </row>
        <row r="221">
          <cell r="B221">
            <v>-3065277</v>
          </cell>
        </row>
        <row r="222">
          <cell r="B222">
            <v>0</v>
          </cell>
        </row>
        <row r="223">
          <cell r="B223">
            <v>-1135</v>
          </cell>
        </row>
        <row r="225">
          <cell r="B225">
            <v>-979763</v>
          </cell>
        </row>
      </sheetData>
      <sheetData sheetId="16" refreshError="1">
        <row r="5">
          <cell r="B5">
            <v>-63013</v>
          </cell>
        </row>
        <row r="6">
          <cell r="B6">
            <v>256892</v>
          </cell>
        </row>
        <row r="8">
          <cell r="B8">
            <v>89596</v>
          </cell>
        </row>
        <row r="10">
          <cell r="B10">
            <v>0</v>
          </cell>
        </row>
        <row r="13">
          <cell r="B13">
            <v>79876</v>
          </cell>
        </row>
        <row r="16">
          <cell r="B16">
            <v>56087</v>
          </cell>
        </row>
        <row r="23">
          <cell r="B23">
            <v>35000</v>
          </cell>
        </row>
        <row r="24">
          <cell r="B24">
            <v>9475</v>
          </cell>
        </row>
        <row r="25">
          <cell r="B25">
            <v>45948</v>
          </cell>
        </row>
        <row r="26">
          <cell r="B26">
            <v>8259</v>
          </cell>
        </row>
        <row r="32">
          <cell r="B32">
            <v>122291</v>
          </cell>
        </row>
        <row r="45">
          <cell r="B45">
            <v>23104</v>
          </cell>
        </row>
        <row r="46">
          <cell r="B46">
            <v>-48558</v>
          </cell>
        </row>
        <row r="47">
          <cell r="B47">
            <v>100000</v>
          </cell>
        </row>
        <row r="49">
          <cell r="B49">
            <v>41400</v>
          </cell>
        </row>
        <row r="54">
          <cell r="B54">
            <v>19896</v>
          </cell>
        </row>
        <row r="78">
          <cell r="B78">
            <v>12680</v>
          </cell>
        </row>
        <row r="79">
          <cell r="B79">
            <v>52491</v>
          </cell>
        </row>
        <row r="82">
          <cell r="B82">
            <v>37000</v>
          </cell>
        </row>
        <row r="85">
          <cell r="B85">
            <v>175005</v>
          </cell>
        </row>
        <row r="86">
          <cell r="B86">
            <v>8905</v>
          </cell>
        </row>
        <row r="91">
          <cell r="B91">
            <v>8012</v>
          </cell>
        </row>
        <row r="92">
          <cell r="B92">
            <v>301270</v>
          </cell>
        </row>
        <row r="97">
          <cell r="B97">
            <v>-70979</v>
          </cell>
        </row>
        <row r="98">
          <cell r="B98">
            <v>-149634</v>
          </cell>
        </row>
        <row r="100">
          <cell r="B100">
            <v>120000</v>
          </cell>
        </row>
        <row r="101">
          <cell r="B101">
            <v>127904</v>
          </cell>
        </row>
        <row r="103">
          <cell r="B103">
            <v>29000</v>
          </cell>
        </row>
        <row r="105">
          <cell r="B105">
            <v>-428502</v>
          </cell>
        </row>
        <row r="109">
          <cell r="B109">
            <v>2930</v>
          </cell>
        </row>
        <row r="110">
          <cell r="B110">
            <v>2012</v>
          </cell>
        </row>
        <row r="111">
          <cell r="B111">
            <v>14285</v>
          </cell>
        </row>
        <row r="113">
          <cell r="B113">
            <v>476256</v>
          </cell>
        </row>
        <row r="114">
          <cell r="B114">
            <v>196138</v>
          </cell>
        </row>
        <row r="115">
          <cell r="B115">
            <v>-20560</v>
          </cell>
        </row>
        <row r="116">
          <cell r="B116">
            <v>1749</v>
          </cell>
        </row>
        <row r="119">
          <cell r="B119">
            <v>-9467</v>
          </cell>
        </row>
        <row r="120">
          <cell r="B120">
            <v>-619594</v>
          </cell>
        </row>
        <row r="121">
          <cell r="B121">
            <v>-148</v>
          </cell>
        </row>
        <row r="122">
          <cell r="B122">
            <v>-17993</v>
          </cell>
        </row>
        <row r="123">
          <cell r="B123">
            <v>-7820</v>
          </cell>
        </row>
        <row r="124">
          <cell r="B124">
            <v>-488363</v>
          </cell>
        </row>
        <row r="125">
          <cell r="B125">
            <v>-14369357</v>
          </cell>
        </row>
        <row r="126">
          <cell r="B126">
            <v>-578725</v>
          </cell>
        </row>
        <row r="128">
          <cell r="B128">
            <v>-10528</v>
          </cell>
        </row>
        <row r="129">
          <cell r="B129">
            <v>-1392</v>
          </cell>
        </row>
        <row r="130">
          <cell r="B130">
            <v>-1178258</v>
          </cell>
        </row>
        <row r="131">
          <cell r="B131">
            <v>18170543</v>
          </cell>
        </row>
        <row r="133">
          <cell r="B133">
            <v>-15746</v>
          </cell>
        </row>
        <row r="135">
          <cell r="B135">
            <v>-1250000</v>
          </cell>
        </row>
        <row r="137">
          <cell r="B137">
            <v>-60297</v>
          </cell>
        </row>
        <row r="138">
          <cell r="B138">
            <v>-42857</v>
          </cell>
        </row>
        <row r="139">
          <cell r="B139">
            <v>-987719</v>
          </cell>
        </row>
        <row r="140">
          <cell r="B140">
            <v>-169070</v>
          </cell>
        </row>
        <row r="141">
          <cell r="B141">
            <v>-35420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ow r="7">
          <cell r="B7">
            <v>223033</v>
          </cell>
        </row>
      </sheetData>
      <sheetData sheetId="30">
        <row r="5">
          <cell r="B5">
            <v>-63013</v>
          </cell>
        </row>
      </sheetData>
      <sheetData sheetId="31"/>
      <sheetData sheetId="32"/>
      <sheetData sheetId="33"/>
      <sheetData sheetId="34"/>
      <sheetData sheetId="35"/>
      <sheetData sheetId="36"/>
      <sheetData sheetId="37"/>
      <sheetData sheetId="38"/>
      <sheetData sheetId="39"/>
      <sheetData sheetId="40">
        <row r="7">
          <cell r="B7">
            <v>223033</v>
          </cell>
        </row>
      </sheetData>
      <sheetData sheetId="41">
        <row r="5">
          <cell r="B5">
            <v>-63013</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BSSCH"/>
      <sheetName val="PLSCH"/>
      <sheetName val="Asset"/>
      <sheetName val="Liab"/>
      <sheetName val="Income"/>
      <sheetName val="Exp"/>
      <sheetName val="EPS Calculation"/>
      <sheetName val="tb"/>
      <sheetName val="roi2003"/>
      <sheetName val="fa in 1000"/>
      <sheetName val="FASch"/>
      <sheetName val="Investment sch"/>
      <sheetName val="DRS-WKG"/>
      <sheetName val="Deferred tax"/>
      <sheetName val="details of grossup"/>
      <sheetName val="drs gross provn working"/>
      <sheetName val="bad-debt provn"/>
      <sheetName val="income tax computation"/>
      <sheetName val="roi"/>
      <sheetName val="EPS_Calculation1"/>
      <sheetName val="fa_in_10001"/>
      <sheetName val="Investment_sch1"/>
      <sheetName val="Deferred_tax1"/>
      <sheetName val="details_of_grossup1"/>
      <sheetName val="drs_gross_provn_working1"/>
      <sheetName val="bad-debt_provn1"/>
      <sheetName val="income_tax_computation1"/>
      <sheetName val="EPS_Calculation"/>
      <sheetName val="fa_in_1000"/>
      <sheetName val="Investment_sch"/>
      <sheetName val="Deferred_tax"/>
      <sheetName val="details_of_grossup"/>
      <sheetName val="drs_gross_provn_working"/>
      <sheetName val="bad-debt_provn"/>
      <sheetName val="income_tax_computation"/>
    </sheetNames>
    <sheetDataSet>
      <sheetData sheetId="0"/>
      <sheetData sheetId="1"/>
      <sheetData sheetId="2"/>
      <sheetData sheetId="3"/>
      <sheetData sheetId="4"/>
      <sheetData sheetId="5"/>
      <sheetData sheetId="6"/>
      <sheetData sheetId="7"/>
      <sheetData sheetId="8"/>
      <sheetData sheetId="9">
        <row r="8">
          <cell r="B8">
            <v>89596</v>
          </cell>
        </row>
        <row r="10">
          <cell r="B10">
            <v>0</v>
          </cell>
        </row>
        <row r="16">
          <cell r="B16">
            <v>56087</v>
          </cell>
        </row>
        <row r="25">
          <cell r="B25">
            <v>45948</v>
          </cell>
        </row>
        <row r="92">
          <cell r="B92">
            <v>301270</v>
          </cell>
        </row>
        <row r="101">
          <cell r="B101">
            <v>127904</v>
          </cell>
        </row>
        <row r="169">
          <cell r="B169">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590"/>
      <sheetName val="DEP. CO.ACT 590"/>
      <sheetName val="current ac 590"/>
      <sheetName val="JOB WORK"/>
      <sheetName val="BS_5901"/>
      <sheetName val="DEP__CO_ACT_5901"/>
      <sheetName val="current_ac_5901"/>
      <sheetName val="JOB_WORK1"/>
      <sheetName val="BS_590"/>
      <sheetName val="DEP__CO_ACT_590"/>
      <sheetName val="current_ac_590"/>
      <sheetName val="JOB_WORK"/>
      <sheetName val="BS_5902"/>
      <sheetName val="DEP__CO_ACT_5902"/>
      <sheetName val="current_ac_5902"/>
      <sheetName val="JOB_WORK2"/>
    </sheetNames>
    <sheetDataSet>
      <sheetData sheetId="0" refreshError="1">
        <row r="3">
          <cell r="B3" t="str">
            <v xml:space="preserve">M/S HOTEL ROYAL </v>
          </cell>
        </row>
        <row r="5">
          <cell r="B5" t="str">
            <v xml:space="preserve"> BALANCE SHEET AS ON 30TH SEPTEMBER, 2000</v>
          </cell>
        </row>
        <row r="7">
          <cell r="G7" t="str">
            <v xml:space="preserve">CURRENT </v>
          </cell>
          <cell r="H7" t="str">
            <v>PREVIOUS</v>
          </cell>
        </row>
        <row r="8">
          <cell r="C8" t="str">
            <v>PARTICULARS</v>
          </cell>
          <cell r="F8" t="str">
            <v>SCH</v>
          </cell>
          <cell r="G8" t="str">
            <v>PERIOD</v>
          </cell>
          <cell r="H8" t="str">
            <v>YEAR</v>
          </cell>
        </row>
        <row r="9">
          <cell r="G9" t="str">
            <v>Rupees</v>
          </cell>
          <cell r="H9" t="str">
            <v>Rupees</v>
          </cell>
        </row>
        <row r="11">
          <cell r="B11" t="str">
            <v>I.</v>
          </cell>
          <cell r="C11" t="str">
            <v>SOURCES  OF FUNDS</v>
          </cell>
        </row>
        <row r="13">
          <cell r="C13" t="str">
            <v>Partners Capital</v>
          </cell>
          <cell r="F13" t="str">
            <v>A</v>
          </cell>
          <cell r="G13">
            <v>1000000</v>
          </cell>
          <cell r="H13">
            <v>1000000</v>
          </cell>
        </row>
        <row r="14">
          <cell r="C14" t="str">
            <v>Partners Current Account</v>
          </cell>
          <cell r="F14" t="str">
            <v>B</v>
          </cell>
          <cell r="G14">
            <v>8754452.4597460609</v>
          </cell>
          <cell r="H14">
            <v>8226798.5200000005</v>
          </cell>
        </row>
        <row r="16">
          <cell r="C16" t="str">
            <v>LOAN FUNDS</v>
          </cell>
        </row>
        <row r="17">
          <cell r="C17" t="str">
            <v>Secured Loans</v>
          </cell>
          <cell r="F17" t="str">
            <v>C</v>
          </cell>
          <cell r="G17">
            <v>697051.58000000007</v>
          </cell>
          <cell r="H17">
            <v>302260.44</v>
          </cell>
        </row>
        <row r="18">
          <cell r="C18" t="str">
            <v>Unsecured Loans</v>
          </cell>
          <cell r="F18" t="str">
            <v>D</v>
          </cell>
          <cell r="G18">
            <v>2083568</v>
          </cell>
          <cell r="H18">
            <v>697396.4</v>
          </cell>
        </row>
        <row r="20">
          <cell r="G20">
            <v>12535072.039746061</v>
          </cell>
          <cell r="H20">
            <v>10226455.359999999</v>
          </cell>
        </row>
        <row r="22">
          <cell r="B22" t="str">
            <v>II.</v>
          </cell>
          <cell r="C22" t="str">
            <v>APPLICATION OF FUNDS</v>
          </cell>
        </row>
        <row r="23">
          <cell r="C23" t="str">
            <v>FIXED ASSETS</v>
          </cell>
          <cell r="F23" t="str">
            <v>E</v>
          </cell>
        </row>
        <row r="25">
          <cell r="C25" t="str">
            <v>Gross Block</v>
          </cell>
          <cell r="G25">
            <v>5196699.32</v>
          </cell>
          <cell r="H25">
            <v>4835159.32</v>
          </cell>
        </row>
        <row r="26">
          <cell r="C26" t="str">
            <v>Less: Depreciation</v>
          </cell>
          <cell r="G26">
            <v>172357.19210684934</v>
          </cell>
          <cell r="H26">
            <v>348543</v>
          </cell>
        </row>
        <row r="27">
          <cell r="C27" t="str">
            <v>Net Block</v>
          </cell>
          <cell r="G27">
            <v>5024342.1278931508</v>
          </cell>
          <cell r="H27">
            <v>4486616.32</v>
          </cell>
        </row>
        <row r="29">
          <cell r="C29" t="str">
            <v>Capital Work in Progress</v>
          </cell>
          <cell r="G29">
            <v>4413049</v>
          </cell>
          <cell r="H29">
            <v>2350796</v>
          </cell>
        </row>
        <row r="31">
          <cell r="C31" t="str">
            <v>CURRENT ASSETS, LOANS &amp;  ADVANCES</v>
          </cell>
        </row>
        <row r="33">
          <cell r="C33" t="str">
            <v>A.CURRENT ASSETS</v>
          </cell>
        </row>
        <row r="34">
          <cell r="C34" t="str">
            <v>Sundry Debtors</v>
          </cell>
          <cell r="D34" t="str">
            <v>`</v>
          </cell>
          <cell r="F34" t="str">
            <v>F</v>
          </cell>
          <cell r="G34">
            <v>1452613.64</v>
          </cell>
          <cell r="H34">
            <v>1183026.58</v>
          </cell>
        </row>
        <row r="35">
          <cell r="C35" t="str">
            <v>Cash &amp; Bank Balances</v>
          </cell>
          <cell r="F35" t="str">
            <v>G</v>
          </cell>
          <cell r="G35">
            <v>40240.699999999997</v>
          </cell>
          <cell r="H35">
            <v>138366.25</v>
          </cell>
        </row>
        <row r="37">
          <cell r="C37" t="str">
            <v xml:space="preserve">B. LOANS AND ADVANCES </v>
          </cell>
        </row>
        <row r="38">
          <cell r="C38" t="str">
            <v>Loans &amp; Advances</v>
          </cell>
          <cell r="F38" t="str">
            <v>H</v>
          </cell>
          <cell r="G38">
            <v>2326597.42</v>
          </cell>
          <cell r="H38">
            <v>2295462.06</v>
          </cell>
        </row>
        <row r="40">
          <cell r="G40">
            <v>3819451.76</v>
          </cell>
          <cell r="H40">
            <v>3616854.89</v>
          </cell>
        </row>
        <row r="41">
          <cell r="C41" t="str">
            <v>LESS:  CURRENT LIABILITIES</v>
          </cell>
        </row>
        <row r="42">
          <cell r="C42" t="str">
            <v>&amp; PROVISIONS</v>
          </cell>
        </row>
        <row r="43">
          <cell r="C43" t="str">
            <v>Current Liabilities</v>
          </cell>
          <cell r="F43" t="str">
            <v>I</v>
          </cell>
          <cell r="G43">
            <v>267337.84999999998</v>
          </cell>
          <cell r="H43">
            <v>192311.85</v>
          </cell>
        </row>
        <row r="44">
          <cell r="C44" t="str">
            <v>Provisions</v>
          </cell>
          <cell r="F44" t="str">
            <v>J</v>
          </cell>
          <cell r="G44">
            <v>474433</v>
          </cell>
          <cell r="H44">
            <v>55500</v>
          </cell>
        </row>
        <row r="45">
          <cell r="G45">
            <v>741770.85</v>
          </cell>
          <cell r="H45">
            <v>247811.85</v>
          </cell>
        </row>
        <row r="46">
          <cell r="C46" t="str">
            <v>NET CURRENT ASSETS</v>
          </cell>
          <cell r="G46">
            <v>3077680.9099999997</v>
          </cell>
          <cell r="H46">
            <v>3369043.04</v>
          </cell>
        </row>
        <row r="48">
          <cell r="C48" t="str">
            <v>MISCELLANEOUS EXPENDITURE</v>
          </cell>
        </row>
        <row r="49">
          <cell r="C49" t="str">
            <v>(to the extent not written off or adjusted)</v>
          </cell>
          <cell r="G49">
            <v>20000</v>
          </cell>
          <cell r="H49">
            <v>20000</v>
          </cell>
        </row>
        <row r="51">
          <cell r="G51">
            <v>12535072.03789315</v>
          </cell>
          <cell r="H51">
            <v>10226455.359999999</v>
          </cell>
        </row>
        <row r="53">
          <cell r="G53">
            <v>-1.852910965681076E-3</v>
          </cell>
          <cell r="H53">
            <v>0</v>
          </cell>
        </row>
        <row r="55">
          <cell r="B55" t="str">
            <v>AS PER OUR REPORT OF EVEN DATE</v>
          </cell>
          <cell r="F55" t="str">
            <v xml:space="preserve">                             FOR M/S HOTEL ROYAL</v>
          </cell>
        </row>
        <row r="56">
          <cell r="B56" t="str">
            <v>FOR AJMERA &amp; ASSOCIATES</v>
          </cell>
        </row>
        <row r="57">
          <cell r="B57" t="str">
            <v>CHARTERED ACCOUNTANTS</v>
          </cell>
        </row>
        <row r="60">
          <cell r="B60" t="str">
            <v>PARTNER</v>
          </cell>
          <cell r="D60">
            <v>0</v>
          </cell>
          <cell r="E60">
            <v>0</v>
          </cell>
          <cell r="F60" t="str">
            <v>DIRECTOR</v>
          </cell>
          <cell r="G60" t="str">
            <v xml:space="preserve">          DIRECTOR</v>
          </cell>
        </row>
        <row r="61">
          <cell r="C61">
            <v>0</v>
          </cell>
        </row>
        <row r="62">
          <cell r="C62">
            <v>0</v>
          </cell>
        </row>
        <row r="63">
          <cell r="B63" t="str">
            <v>PLACE : MUMBAI</v>
          </cell>
        </row>
        <row r="64">
          <cell r="B64" t="str">
            <v>DATE   :    /12/2001</v>
          </cell>
        </row>
        <row r="70">
          <cell r="B70" t="str">
            <v xml:space="preserve">M/S HOTEL ROYAL </v>
          </cell>
        </row>
        <row r="72">
          <cell r="B72" t="str">
            <v xml:space="preserve"> PROFIT AND LOSS ACCOUNT FOR THE YEAR ENDED  30TH SEPTEMBER, 2000</v>
          </cell>
        </row>
        <row r="74">
          <cell r="G74" t="str">
            <v xml:space="preserve">CURRENT </v>
          </cell>
          <cell r="H74" t="str">
            <v>PREVIOUS</v>
          </cell>
        </row>
        <row r="75">
          <cell r="C75" t="str">
            <v>PARTICULARS</v>
          </cell>
          <cell r="F75" t="str">
            <v>SCH</v>
          </cell>
          <cell r="G75" t="str">
            <v>PERIOD</v>
          </cell>
          <cell r="H75" t="str">
            <v>YEAR</v>
          </cell>
        </row>
        <row r="76">
          <cell r="G76" t="str">
            <v>Rupees</v>
          </cell>
          <cell r="H76" t="str">
            <v>Rupees</v>
          </cell>
        </row>
        <row r="77">
          <cell r="B77" t="str">
            <v>I</v>
          </cell>
          <cell r="C77" t="str">
            <v>INCOME</v>
          </cell>
        </row>
        <row r="79">
          <cell r="C79" t="str">
            <v>Income from Operations</v>
          </cell>
          <cell r="G79">
            <v>2820865</v>
          </cell>
          <cell r="H79">
            <v>5322840.5</v>
          </cell>
        </row>
        <row r="80">
          <cell r="C80" t="str">
            <v>Other Income</v>
          </cell>
          <cell r="G80">
            <v>244670.5</v>
          </cell>
          <cell r="H80">
            <v>799811.3</v>
          </cell>
        </row>
        <row r="81">
          <cell r="E81" t="str">
            <v xml:space="preserve">TOTAL </v>
          </cell>
          <cell r="G81">
            <v>3065535.5</v>
          </cell>
          <cell r="H81">
            <v>6122651.7999999998</v>
          </cell>
        </row>
        <row r="83">
          <cell r="B83" t="str">
            <v>II</v>
          </cell>
          <cell r="C83" t="str">
            <v>EXPENDITURE</v>
          </cell>
        </row>
        <row r="85">
          <cell r="C85" t="str">
            <v>Payments to &amp; Provision for Employees</v>
          </cell>
          <cell r="F85" t="str">
            <v>K</v>
          </cell>
          <cell r="G85">
            <v>367058.4</v>
          </cell>
          <cell r="H85">
            <v>965216.54999999993</v>
          </cell>
        </row>
        <row r="86">
          <cell r="C86" t="str">
            <v>Administrative &amp; Other Expenses</v>
          </cell>
          <cell r="F86" t="str">
            <v>L</v>
          </cell>
          <cell r="G86">
            <v>1690735.39</v>
          </cell>
          <cell r="H86">
            <v>2746245.9499999997</v>
          </cell>
        </row>
        <row r="87">
          <cell r="C87" t="str">
            <v>Selling &amp; Distribution Expenses</v>
          </cell>
          <cell r="F87" t="str">
            <v>M</v>
          </cell>
          <cell r="G87">
            <v>107351.8</v>
          </cell>
          <cell r="H87">
            <v>75328</v>
          </cell>
        </row>
        <row r="88">
          <cell r="C88" t="str">
            <v>Financial Expenses</v>
          </cell>
          <cell r="F88" t="str">
            <v>N</v>
          </cell>
          <cell r="G88">
            <v>75061.279999999984</v>
          </cell>
          <cell r="H88">
            <v>199916.39</v>
          </cell>
        </row>
        <row r="89">
          <cell r="C89" t="str">
            <v>Depreciation</v>
          </cell>
          <cell r="F89" t="str">
            <v>E</v>
          </cell>
          <cell r="G89">
            <v>172357.19210684934</v>
          </cell>
          <cell r="H89">
            <v>348543</v>
          </cell>
        </row>
        <row r="91">
          <cell r="E91" t="str">
            <v xml:space="preserve">TOTAL </v>
          </cell>
          <cell r="G91">
            <v>2412564.0621068492</v>
          </cell>
          <cell r="H91">
            <v>4335249.8899999997</v>
          </cell>
        </row>
        <row r="93">
          <cell r="B93">
            <v>0</v>
          </cell>
          <cell r="C93" t="str">
            <v>PROFIT BEFORE INTEREST AND REMUNERATION</v>
          </cell>
          <cell r="G93">
            <v>652971.43789315084</v>
          </cell>
          <cell r="H93">
            <v>1787401.9100000001</v>
          </cell>
        </row>
        <row r="94">
          <cell r="C94" t="str">
            <v>Interest on Capital &amp; Current Account</v>
          </cell>
          <cell r="G94">
            <v>593430.77</v>
          </cell>
          <cell r="H94">
            <v>976718</v>
          </cell>
        </row>
        <row r="95">
          <cell r="C95" t="str">
            <v>Remuneration to Partners</v>
          </cell>
          <cell r="G95">
            <v>50000</v>
          </cell>
          <cell r="H95">
            <v>376772</v>
          </cell>
        </row>
        <row r="97">
          <cell r="B97" t="str">
            <v>IV</v>
          </cell>
          <cell r="C97" t="str">
            <v>PROFIT AFTER TAX</v>
          </cell>
          <cell r="G97">
            <v>9540.6678931508213</v>
          </cell>
          <cell r="H97">
            <v>433911.91000000015</v>
          </cell>
        </row>
        <row r="99">
          <cell r="C99" t="str">
            <v>Add: Balance Brought Forward</v>
          </cell>
          <cell r="G99">
            <v>0</v>
          </cell>
          <cell r="H99">
            <v>0</v>
          </cell>
        </row>
        <row r="101">
          <cell r="C101" t="str">
            <v>Balance carried to Balance sheet</v>
          </cell>
          <cell r="G101">
            <v>9540.6678931508213</v>
          </cell>
          <cell r="H101">
            <v>433911.91000000015</v>
          </cell>
        </row>
        <row r="103">
          <cell r="C103" t="str">
            <v>NOTES FORMING PART OF ACCOUNTS</v>
          </cell>
          <cell r="F103" t="str">
            <v>O</v>
          </cell>
        </row>
        <row r="106">
          <cell r="B106" t="str">
            <v>AS PER OUR REPORT OF EVEN DATE</v>
          </cell>
          <cell r="F106" t="str">
            <v xml:space="preserve">                             FOR M/S HOTEL ROYAL</v>
          </cell>
        </row>
        <row r="107">
          <cell r="B107" t="str">
            <v>FOR AJMERA &amp; ASSOCIATES</v>
          </cell>
        </row>
        <row r="108">
          <cell r="B108" t="str">
            <v>CHARTERED ACCOUNTANTS</v>
          </cell>
        </row>
        <row r="111">
          <cell r="C111">
            <v>0</v>
          </cell>
          <cell r="F111" t="str">
            <v>DIRECTOR</v>
          </cell>
          <cell r="G111" t="str">
            <v>DIRECTOR</v>
          </cell>
        </row>
        <row r="112">
          <cell r="B112" t="str">
            <v>PARTNER</v>
          </cell>
        </row>
        <row r="113">
          <cell r="C113">
            <v>0</v>
          </cell>
        </row>
        <row r="114">
          <cell r="B114" t="str">
            <v>PLACE : MUMBAI</v>
          </cell>
        </row>
        <row r="115">
          <cell r="B115" t="str">
            <v>DATE   :   /12/2001</v>
          </cell>
        </row>
        <row r="126">
          <cell r="B126" t="str">
            <v xml:space="preserve">M/S HOTEL ROYAL </v>
          </cell>
        </row>
        <row r="128">
          <cell r="B128" t="str">
            <v>SCHEDULES ANNEXED TO AND FORMING PART OF THE BALANCE SHEET AS ON</v>
          </cell>
        </row>
        <row r="129">
          <cell r="B129" t="str">
            <v>30TH SEPTEMBER.,2000 AND PROFIT AND LOSS ACCOUNT FOR THE PERIOD ENDED ON</v>
          </cell>
        </row>
        <row r="130">
          <cell r="B130" t="str">
            <v>THAT DATE.</v>
          </cell>
        </row>
        <row r="132">
          <cell r="G132" t="str">
            <v xml:space="preserve">CURRENT </v>
          </cell>
          <cell r="H132" t="str">
            <v>PREVIOUS</v>
          </cell>
        </row>
        <row r="133">
          <cell r="G133" t="str">
            <v>PERIOD</v>
          </cell>
          <cell r="H133" t="str">
            <v>YEAR</v>
          </cell>
        </row>
        <row r="134">
          <cell r="C134" t="str">
            <v>PARTICULARS</v>
          </cell>
        </row>
        <row r="135">
          <cell r="G135" t="str">
            <v>Rupees</v>
          </cell>
          <cell r="H135" t="str">
            <v>Rupees</v>
          </cell>
        </row>
        <row r="137">
          <cell r="B137" t="str">
            <v>SCHEDULE "A"</v>
          </cell>
        </row>
        <row r="138">
          <cell r="B138" t="str">
            <v xml:space="preserve">PARTNERS CAPITAL </v>
          </cell>
          <cell r="G138">
            <v>1000000</v>
          </cell>
          <cell r="H138">
            <v>1000000</v>
          </cell>
        </row>
        <row r="140">
          <cell r="G140">
            <v>1000000</v>
          </cell>
          <cell r="H140">
            <v>1000000</v>
          </cell>
        </row>
        <row r="142">
          <cell r="B142" t="str">
            <v>SCHEDULE "B"</v>
          </cell>
        </row>
        <row r="143">
          <cell r="B143" t="str">
            <v>RESERVES AND SURPLUS</v>
          </cell>
        </row>
        <row r="144">
          <cell r="B144" t="str">
            <v>Surplus as per Profit &amp; Loss A/c</v>
          </cell>
          <cell r="G144">
            <v>9540.6678931508213</v>
          </cell>
          <cell r="H144">
            <v>433911.91000000015</v>
          </cell>
        </row>
        <row r="146">
          <cell r="G146">
            <v>9540.6678931508213</v>
          </cell>
          <cell r="H146">
            <v>433911.91000000015</v>
          </cell>
        </row>
        <row r="148">
          <cell r="B148" t="str">
            <v>SCHEDULE "C"</v>
          </cell>
        </row>
        <row r="149">
          <cell r="B149" t="str">
            <v>SECURED LOANS</v>
          </cell>
        </row>
        <row r="151">
          <cell r="B151" t="str">
            <v>Car Loan</v>
          </cell>
        </row>
        <row r="152">
          <cell r="B152" t="str">
            <v xml:space="preserve"> - From ANZ Grindlays</v>
          </cell>
          <cell r="G152">
            <v>254277</v>
          </cell>
          <cell r="H152">
            <v>302260.44</v>
          </cell>
        </row>
        <row r="153">
          <cell r="B153" t="str">
            <v xml:space="preserve"> - From SCB Bank</v>
          </cell>
          <cell r="G153">
            <v>442774.58</v>
          </cell>
          <cell r="H153">
            <v>0</v>
          </cell>
        </row>
        <row r="155">
          <cell r="G155">
            <v>697051.58000000007</v>
          </cell>
          <cell r="H155">
            <v>302260.44</v>
          </cell>
        </row>
        <row r="157">
          <cell r="B157" t="str">
            <v>SCHEDULE "D"</v>
          </cell>
        </row>
        <row r="159">
          <cell r="B159" t="str">
            <v>UNSECURED LOANS</v>
          </cell>
        </row>
        <row r="160">
          <cell r="B160" t="str">
            <v>From Others</v>
          </cell>
          <cell r="G160">
            <v>604931</v>
          </cell>
          <cell r="H160">
            <v>697396.4</v>
          </cell>
        </row>
        <row r="161">
          <cell r="B161" t="str">
            <v>From Sabal Holdings Pvt. Ltd.</v>
          </cell>
          <cell r="G161">
            <v>725658</v>
          </cell>
          <cell r="H161">
            <v>0</v>
          </cell>
        </row>
        <row r="162">
          <cell r="B162" t="str">
            <v>From Ratish Holdings Pvt. Ltd.</v>
          </cell>
          <cell r="G162">
            <v>752979</v>
          </cell>
          <cell r="H162">
            <v>0</v>
          </cell>
        </row>
        <row r="164">
          <cell r="G164">
            <v>2083568</v>
          </cell>
          <cell r="H164">
            <v>697396.4</v>
          </cell>
        </row>
        <row r="167">
          <cell r="B167" t="str">
            <v xml:space="preserve">HOTEL ROYAL(DIV.OF BALAN HOTELS PVT.LTD. </v>
          </cell>
        </row>
        <row r="169">
          <cell r="B169" t="str">
            <v>SCHEDULES ANNEXED TO AND FORMING PART OF THE BALANCE SHEET AS ON</v>
          </cell>
        </row>
        <row r="170">
          <cell r="B170" t="str">
            <v>30TH SEPTEMBER,,2000 AND PROFIT AND LOSS ACCOUNT FOR THE PERIOD ENDED ON</v>
          </cell>
        </row>
        <row r="171">
          <cell r="B171" t="str">
            <v>THAT DATE.</v>
          </cell>
        </row>
        <row r="173">
          <cell r="G173" t="str">
            <v>CURRENT</v>
          </cell>
          <cell r="H173" t="str">
            <v>PREVIOUS</v>
          </cell>
        </row>
        <row r="174">
          <cell r="C174" t="str">
            <v>PARTICULARS</v>
          </cell>
          <cell r="G174" t="str">
            <v>PERIOD</v>
          </cell>
          <cell r="H174" t="str">
            <v>YEAR</v>
          </cell>
        </row>
        <row r="175">
          <cell r="G175" t="str">
            <v>Rupees</v>
          </cell>
          <cell r="H175" t="str">
            <v>Rupees</v>
          </cell>
        </row>
        <row r="176">
          <cell r="B176" t="str">
            <v>SCHEDULE "F"</v>
          </cell>
        </row>
        <row r="178">
          <cell r="B178" t="str">
            <v>SUNDRY DEBTORS</v>
          </cell>
          <cell r="G178">
            <v>1452613.64</v>
          </cell>
          <cell r="H178">
            <v>1183026.58</v>
          </cell>
        </row>
        <row r="179">
          <cell r="B179" t="str">
            <v>(unsecured, considered good)</v>
          </cell>
        </row>
        <row r="181">
          <cell r="G181">
            <v>1452613.64</v>
          </cell>
          <cell r="H181">
            <v>1183026.58</v>
          </cell>
        </row>
        <row r="183">
          <cell r="B183" t="str">
            <v>SCHEDULE "G"</v>
          </cell>
        </row>
        <row r="185">
          <cell r="B185" t="str">
            <v>CASH &amp; BANK BALANCES</v>
          </cell>
        </row>
        <row r="186">
          <cell r="B186" t="str">
            <v>Cash in hand</v>
          </cell>
          <cell r="G186">
            <v>10010.39</v>
          </cell>
          <cell r="H186">
            <v>12904.04</v>
          </cell>
        </row>
        <row r="187">
          <cell r="B187" t="str">
            <v>Balance with Scheduled Bank in</v>
          </cell>
        </row>
        <row r="188">
          <cell r="B188" t="str">
            <v xml:space="preserve">Current account </v>
          </cell>
          <cell r="D188" t="str">
            <v>Bharat Co-op Bank</v>
          </cell>
          <cell r="G188">
            <v>501</v>
          </cell>
          <cell r="H188">
            <v>501</v>
          </cell>
        </row>
        <row r="189">
          <cell r="D189" t="str">
            <v>Nedungadi Bank</v>
          </cell>
          <cell r="G189">
            <v>4873.76</v>
          </cell>
          <cell r="H189">
            <v>4873.76</v>
          </cell>
        </row>
        <row r="190">
          <cell r="D190" t="str">
            <v>Bank Of Madura</v>
          </cell>
          <cell r="G190">
            <v>24855.55</v>
          </cell>
          <cell r="H190">
            <v>120087.45</v>
          </cell>
        </row>
        <row r="192">
          <cell r="G192">
            <v>40240.699999999997</v>
          </cell>
          <cell r="H192">
            <v>138366.25</v>
          </cell>
        </row>
        <row r="195">
          <cell r="B195" t="str">
            <v xml:space="preserve">HOTEL ROYAL(DIV.OF BALAN HOTELS PVT.LTD. </v>
          </cell>
        </row>
        <row r="197">
          <cell r="B197" t="str">
            <v>SCHEDULES ANNEXED TO AND FORMING PART OF THE BALANCE SHEET AS ON</v>
          </cell>
        </row>
        <row r="198">
          <cell r="B198" t="str">
            <v>30TH SEPTEMBER,2000 AND PROFIT AND LOSS ACCOUNT FOR THE PERIOD ENDED ON</v>
          </cell>
        </row>
        <row r="199">
          <cell r="B199" t="str">
            <v>THAT DATE.</v>
          </cell>
        </row>
        <row r="201">
          <cell r="G201" t="str">
            <v>CURRENT</v>
          </cell>
          <cell r="H201" t="str">
            <v>PREVIOUS</v>
          </cell>
        </row>
        <row r="202">
          <cell r="C202" t="str">
            <v>PARTICULARS</v>
          </cell>
          <cell r="G202" t="str">
            <v>PERIOD</v>
          </cell>
          <cell r="H202" t="str">
            <v>YEAR</v>
          </cell>
        </row>
        <row r="203">
          <cell r="G203" t="str">
            <v>Rupees</v>
          </cell>
          <cell r="H203" t="str">
            <v>Rupees</v>
          </cell>
        </row>
        <row r="204">
          <cell r="B204" t="str">
            <v>SCHEDULE "H"</v>
          </cell>
        </row>
        <row r="206">
          <cell r="B206" t="str">
            <v>LOANS &amp; ADVANCES</v>
          </cell>
        </row>
        <row r="207">
          <cell r="B207" t="str">
            <v>(Unsecured, Considered Good, unless otherwise stated)</v>
          </cell>
        </row>
        <row r="208">
          <cell r="B208" t="str">
            <v>Advance recoverable in cash or in kind</v>
          </cell>
          <cell r="G208">
            <v>2043371.42</v>
          </cell>
          <cell r="H208">
            <v>1812179.42</v>
          </cell>
        </row>
        <row r="209">
          <cell r="B209" t="str">
            <v>Security Deposits</v>
          </cell>
          <cell r="G209">
            <v>68520</v>
          </cell>
          <cell r="H209">
            <v>246732.64</v>
          </cell>
        </row>
        <row r="210">
          <cell r="B210" t="str">
            <v>Prepaid Expenses</v>
          </cell>
          <cell r="G210">
            <v>71297</v>
          </cell>
          <cell r="H210">
            <v>0</v>
          </cell>
        </row>
        <row r="211">
          <cell r="B211" t="str">
            <v>Provision Of Income</v>
          </cell>
          <cell r="G211">
            <v>3333</v>
          </cell>
          <cell r="H211">
            <v>0</v>
          </cell>
        </row>
        <row r="212">
          <cell r="B212" t="str">
            <v>Advance Tax and T D S</v>
          </cell>
          <cell r="G212">
            <v>126576</v>
          </cell>
          <cell r="H212">
            <v>236550</v>
          </cell>
        </row>
        <row r="213">
          <cell r="B213" t="str">
            <v>Staff Loan</v>
          </cell>
          <cell r="G213">
            <v>13500</v>
          </cell>
          <cell r="H213">
            <v>0</v>
          </cell>
        </row>
        <row r="215">
          <cell r="G215">
            <v>2326597.42</v>
          </cell>
          <cell r="H215">
            <v>2295462.06</v>
          </cell>
        </row>
        <row r="217">
          <cell r="B217" t="str">
            <v>SCHEDULE "I"</v>
          </cell>
        </row>
        <row r="219">
          <cell r="B219" t="str">
            <v>CURRENT LIABILITIES</v>
          </cell>
        </row>
        <row r="220">
          <cell r="B220" t="str">
            <v>Creditors for Capital Items</v>
          </cell>
          <cell r="G220">
            <v>147365</v>
          </cell>
          <cell r="H220">
            <v>103079</v>
          </cell>
        </row>
        <row r="221">
          <cell r="B221" t="str">
            <v>Creditors for expenses.</v>
          </cell>
          <cell r="G221">
            <v>119972.85</v>
          </cell>
          <cell r="H221">
            <v>89232.85</v>
          </cell>
        </row>
        <row r="223">
          <cell r="G223">
            <v>267337.84999999998</v>
          </cell>
          <cell r="H223">
            <v>192311.85</v>
          </cell>
        </row>
        <row r="225">
          <cell r="B225" t="str">
            <v>SCHEDULE "J"</v>
          </cell>
        </row>
        <row r="227">
          <cell r="B227" t="str">
            <v>PROVISIONS</v>
          </cell>
        </row>
        <row r="228">
          <cell r="B228" t="str">
            <v>Provision for Expenses</v>
          </cell>
          <cell r="G228">
            <v>474433</v>
          </cell>
          <cell r="H228">
            <v>55500</v>
          </cell>
        </row>
        <row r="230">
          <cell r="G230">
            <v>474433</v>
          </cell>
          <cell r="H230">
            <v>55500</v>
          </cell>
        </row>
        <row r="234">
          <cell r="B234" t="str">
            <v xml:space="preserve">HOTEL ROYAL(DIV.OF BALAN HOTELS PVT.LTD. </v>
          </cell>
        </row>
        <row r="236">
          <cell r="B236" t="str">
            <v>SCHEDULES ANNEXED TO AND FORMING PART OF THE BALANCE SHEET AS ON</v>
          </cell>
        </row>
        <row r="237">
          <cell r="B237" t="str">
            <v>30TH SEPTEMBER,2000 AND PROFIT AND LOSS ACCOUNT FOR THE PERIOD ENDED ON</v>
          </cell>
        </row>
        <row r="238">
          <cell r="B238" t="str">
            <v>THAT DATE.</v>
          </cell>
        </row>
        <row r="240">
          <cell r="G240" t="str">
            <v>CURRENT</v>
          </cell>
          <cell r="H240" t="str">
            <v>PREVIOUS</v>
          </cell>
        </row>
        <row r="241">
          <cell r="C241" t="str">
            <v>PARTICULARS</v>
          </cell>
          <cell r="G241" t="str">
            <v>PERIOD</v>
          </cell>
          <cell r="H241" t="str">
            <v>YEAR</v>
          </cell>
        </row>
        <row r="242">
          <cell r="G242" t="str">
            <v>Rupees</v>
          </cell>
          <cell r="H242" t="str">
            <v>Rupees</v>
          </cell>
        </row>
        <row r="244">
          <cell r="B244" t="str">
            <v>SCHEDULE "K"</v>
          </cell>
        </row>
        <row r="246">
          <cell r="B246" t="str">
            <v>PAYMENTS TO &amp; PROVISIONS FOR EMPLOYEES</v>
          </cell>
        </row>
        <row r="247">
          <cell r="B247" t="str">
            <v>Salary, Wages &amp; Bonus</v>
          </cell>
          <cell r="G247">
            <v>208290</v>
          </cell>
          <cell r="H247">
            <v>558181.6</v>
          </cell>
        </row>
        <row r="248">
          <cell r="B248" t="str">
            <v>Contribution to ESIC Fund</v>
          </cell>
          <cell r="G248">
            <v>9544.4</v>
          </cell>
          <cell r="H248">
            <v>32209.75</v>
          </cell>
        </row>
        <row r="249">
          <cell r="B249" t="str">
            <v>Contribution to P.F</v>
          </cell>
          <cell r="G249">
            <v>33858</v>
          </cell>
          <cell r="H249">
            <v>130786</v>
          </cell>
        </row>
        <row r="250">
          <cell r="B250" t="str">
            <v>Staff Meals</v>
          </cell>
          <cell r="G250">
            <v>79434</v>
          </cell>
          <cell r="H250">
            <v>187399</v>
          </cell>
        </row>
        <row r="251">
          <cell r="B251" t="str">
            <v>Leave Salary &amp; Gratuity</v>
          </cell>
          <cell r="G251">
            <v>22467</v>
          </cell>
          <cell r="H251">
            <v>42870</v>
          </cell>
        </row>
        <row r="252">
          <cell r="B252" t="str">
            <v>Cash Handling expenses</v>
          </cell>
          <cell r="G252">
            <v>10113</v>
          </cell>
          <cell r="H252">
            <v>12000</v>
          </cell>
        </row>
        <row r="253">
          <cell r="B253" t="str">
            <v>Life Insurance of Employees</v>
          </cell>
          <cell r="G253">
            <v>3222</v>
          </cell>
          <cell r="H253">
            <v>0</v>
          </cell>
        </row>
        <row r="254">
          <cell r="B254" t="str">
            <v>Profession Tax</v>
          </cell>
          <cell r="G254">
            <v>130</v>
          </cell>
          <cell r="H254">
            <v>1770.2</v>
          </cell>
        </row>
        <row r="256">
          <cell r="G256">
            <v>367058.4</v>
          </cell>
          <cell r="H256">
            <v>965216.54999999993</v>
          </cell>
        </row>
        <row r="258">
          <cell r="B258" t="str">
            <v>SCHEDULE "L"</v>
          </cell>
        </row>
        <row r="260">
          <cell r="B260" t="str">
            <v>ADMINISTRATIVE &amp; OTHER EXPENSES</v>
          </cell>
        </row>
        <row r="261">
          <cell r="B261" t="str">
            <v>Rent, Rates &amp; Taxes</v>
          </cell>
          <cell r="G261">
            <v>188235.64</v>
          </cell>
          <cell r="H261">
            <v>275279</v>
          </cell>
        </row>
        <row r="262">
          <cell r="B262" t="str">
            <v>Traveling &amp; Conveyance</v>
          </cell>
          <cell r="G262">
            <v>22517.5</v>
          </cell>
          <cell r="H262">
            <v>62786</v>
          </cell>
        </row>
        <row r="263">
          <cell r="B263" t="str">
            <v>Insurance</v>
          </cell>
          <cell r="G263">
            <v>6893</v>
          </cell>
          <cell r="H263">
            <v>103590</v>
          </cell>
        </row>
        <row r="264">
          <cell r="B264" t="str">
            <v>Postage, Telephone &amp; Telegrams</v>
          </cell>
          <cell r="G264">
            <v>111111.5</v>
          </cell>
          <cell r="H264">
            <v>78786</v>
          </cell>
        </row>
        <row r="265">
          <cell r="B265" t="str">
            <v>Printing &amp; Stationary</v>
          </cell>
          <cell r="G265">
            <v>42246.25</v>
          </cell>
          <cell r="H265">
            <v>56772.2</v>
          </cell>
        </row>
        <row r="266">
          <cell r="B266" t="str">
            <v>Newspaper and Periodicals</v>
          </cell>
          <cell r="G266">
            <v>25738.6</v>
          </cell>
          <cell r="H266">
            <v>46299.35</v>
          </cell>
        </row>
        <row r="267">
          <cell r="B267" t="str">
            <v>Electricity Charges</v>
          </cell>
          <cell r="G267">
            <v>706281</v>
          </cell>
          <cell r="H267">
            <v>932861</v>
          </cell>
        </row>
        <row r="268">
          <cell r="B268" t="str">
            <v>Laundry Charges</v>
          </cell>
          <cell r="G268">
            <v>56167</v>
          </cell>
          <cell r="H268">
            <v>114778</v>
          </cell>
        </row>
        <row r="269">
          <cell r="B269" t="str">
            <v>Vehicle Expenses</v>
          </cell>
          <cell r="G269">
            <v>87097</v>
          </cell>
          <cell r="H269">
            <v>142165</v>
          </cell>
        </row>
        <row r="270">
          <cell r="B270" t="str">
            <v>Professional &amp; Consultancy charges</v>
          </cell>
          <cell r="G270">
            <v>3617</v>
          </cell>
          <cell r="H270">
            <v>87200</v>
          </cell>
        </row>
        <row r="271">
          <cell r="B271" t="str">
            <v>Audit fees</v>
          </cell>
          <cell r="G271">
            <v>0</v>
          </cell>
          <cell r="H271">
            <v>10500</v>
          </cell>
        </row>
        <row r="272">
          <cell r="B272" t="str">
            <v>Staff Welfare Expenses</v>
          </cell>
          <cell r="G272">
            <v>38302.65</v>
          </cell>
          <cell r="H272">
            <v>62066.55</v>
          </cell>
        </row>
        <row r="273">
          <cell r="B273" t="str">
            <v>House Keeping Expenses</v>
          </cell>
          <cell r="G273">
            <v>135838.25</v>
          </cell>
          <cell r="H273">
            <v>322056.34999999998</v>
          </cell>
        </row>
        <row r="274">
          <cell r="B274" t="str">
            <v>Repair &amp; Maintainence</v>
          </cell>
          <cell r="G274">
            <v>208964</v>
          </cell>
          <cell r="H274">
            <v>341955</v>
          </cell>
        </row>
        <row r="275">
          <cell r="B275" t="str">
            <v>Mansoon Shed Expenses</v>
          </cell>
          <cell r="G275">
            <v>0</v>
          </cell>
          <cell r="H275">
            <v>66840</v>
          </cell>
        </row>
        <row r="276">
          <cell r="B276" t="str">
            <v>Miscellaneous Expenses</v>
          </cell>
          <cell r="G276">
            <v>29198</v>
          </cell>
          <cell r="H276">
            <v>29447</v>
          </cell>
        </row>
        <row r="277">
          <cell r="B277" t="str">
            <v>Office Expenses</v>
          </cell>
          <cell r="G277">
            <v>28528</v>
          </cell>
          <cell r="H277">
            <v>12864.5</v>
          </cell>
        </row>
        <row r="279">
          <cell r="G279">
            <v>1690735.39</v>
          </cell>
          <cell r="H279">
            <v>2746245.9499999997</v>
          </cell>
        </row>
        <row r="282">
          <cell r="B282" t="str">
            <v xml:space="preserve">HOTEL ROYAL(DIV.OF BALAN HOTELS PVT.LTD. </v>
          </cell>
        </row>
        <row r="284">
          <cell r="B284" t="str">
            <v>SCHEDULES ANNEXED TO AND FORMING PART OF THE BALANCE SHEET AS AT</v>
          </cell>
        </row>
        <row r="285">
          <cell r="B285" t="str">
            <v>30TH SEPTEMBER ,2000 AND PROFIT AND LOSS ACCOUNT FOR THE PERIOD ENDED ON</v>
          </cell>
        </row>
        <row r="286">
          <cell r="B286" t="str">
            <v>THAT DATE.</v>
          </cell>
        </row>
        <row r="288">
          <cell r="G288" t="str">
            <v>CURRENT</v>
          </cell>
          <cell r="H288" t="str">
            <v>PREVIOUS</v>
          </cell>
        </row>
        <row r="289">
          <cell r="C289" t="str">
            <v>PARTICULARS</v>
          </cell>
          <cell r="G289" t="str">
            <v>PERIOD</v>
          </cell>
          <cell r="H289" t="str">
            <v>YEAR</v>
          </cell>
        </row>
        <row r="290">
          <cell r="G290" t="str">
            <v>Rupees</v>
          </cell>
          <cell r="H290" t="str">
            <v>Rupees</v>
          </cell>
        </row>
        <row r="292">
          <cell r="B292" t="str">
            <v>SCHEDULE "M"</v>
          </cell>
        </row>
        <row r="294">
          <cell r="B294" t="str">
            <v>SELLING &amp; DISTRIBUTION EXPENSES</v>
          </cell>
        </row>
        <row r="295">
          <cell r="B295" t="str">
            <v>Business Promotion</v>
          </cell>
          <cell r="G295">
            <v>19049</v>
          </cell>
          <cell r="H295">
            <v>10597</v>
          </cell>
        </row>
        <row r="296">
          <cell r="B296" t="str">
            <v xml:space="preserve">Credit Card Commission </v>
          </cell>
          <cell r="G296">
            <v>22607.8</v>
          </cell>
          <cell r="H296">
            <v>42570</v>
          </cell>
        </row>
        <row r="297">
          <cell r="B297" t="str">
            <v>Cash Discount on Sales</v>
          </cell>
          <cell r="G297">
            <v>63194</v>
          </cell>
          <cell r="H297">
            <v>0</v>
          </cell>
        </row>
        <row r="298">
          <cell r="B298" t="str">
            <v>Advertisement</v>
          </cell>
          <cell r="G298">
            <v>2501</v>
          </cell>
          <cell r="H298">
            <v>22161</v>
          </cell>
        </row>
        <row r="299">
          <cell r="G299">
            <v>107351.8</v>
          </cell>
          <cell r="H299">
            <v>75328</v>
          </cell>
        </row>
        <row r="301">
          <cell r="B301" t="str">
            <v>SCHEDULE "N"</v>
          </cell>
        </row>
        <row r="303">
          <cell r="B303" t="str">
            <v>FINANCIAL EXPENSES</v>
          </cell>
        </row>
        <row r="304">
          <cell r="B304" t="str">
            <v>Interest on Loan</v>
          </cell>
        </row>
        <row r="305">
          <cell r="B305" t="str">
            <v>- From ANZ Grindlays &amp; SCB</v>
          </cell>
          <cell r="G305">
            <v>30391.14</v>
          </cell>
          <cell r="H305">
            <v>74448.39</v>
          </cell>
        </row>
        <row r="307">
          <cell r="B307" t="str">
            <v>Interest on Unsecured Loan</v>
          </cell>
        </row>
        <row r="308">
          <cell r="B308" t="str">
            <v>-From Others</v>
          </cell>
          <cell r="G308">
            <v>43587.6</v>
          </cell>
          <cell r="H308">
            <v>114197</v>
          </cell>
        </row>
        <row r="309">
          <cell r="B309" t="str">
            <v>Bank charges</v>
          </cell>
          <cell r="G309">
            <v>1082.54</v>
          </cell>
          <cell r="H309">
            <v>11271</v>
          </cell>
        </row>
        <row r="311">
          <cell r="G311">
            <v>75061.279999999984</v>
          </cell>
          <cell r="H311">
            <v>199916.39</v>
          </cell>
        </row>
        <row r="315">
          <cell r="B315" t="str">
            <v xml:space="preserve">HOTEL ROYAL(DIV.OF BALAN HOTELS PVT.LTD. </v>
          </cell>
        </row>
        <row r="317">
          <cell r="B317" t="str">
            <v xml:space="preserve">GROUPING FORMING PART OF THE BALANCE SHEET AND </v>
          </cell>
        </row>
        <row r="318">
          <cell r="B318" t="str">
            <v>PROFIT AND LOSS ACCOUNTS FOR THE PERIOD 30.09.2000</v>
          </cell>
        </row>
        <row r="321">
          <cell r="B321" t="str">
            <v>DETAILS OF LOAN</v>
          </cell>
        </row>
        <row r="323">
          <cell r="B323" t="str">
            <v>Balan And Associates</v>
          </cell>
          <cell r="G323">
            <v>160576.9</v>
          </cell>
        </row>
        <row r="324">
          <cell r="B324" t="str">
            <v>Premji Nagda</v>
          </cell>
          <cell r="G324">
            <v>67381.5</v>
          </cell>
        </row>
        <row r="325">
          <cell r="B325" t="str">
            <v>Yogesh Siney</v>
          </cell>
          <cell r="G325">
            <v>231394.6</v>
          </cell>
        </row>
        <row r="326">
          <cell r="B326" t="str">
            <v>Sanjay Agarwal</v>
          </cell>
        </row>
        <row r="327">
          <cell r="B327" t="str">
            <v>Madhuben Chedda</v>
          </cell>
          <cell r="G327">
            <v>145578</v>
          </cell>
        </row>
        <row r="329">
          <cell r="G329">
            <v>604931</v>
          </cell>
        </row>
        <row r="331">
          <cell r="B331" t="str">
            <v>CREDITORS FOR EXPENSES</v>
          </cell>
        </row>
        <row r="333">
          <cell r="B333" t="str">
            <v>VMS Audit fees</v>
          </cell>
          <cell r="G333">
            <v>24250</v>
          </cell>
        </row>
        <row r="334">
          <cell r="B334" t="str">
            <v>TDS</v>
          </cell>
          <cell r="G334">
            <v>81122.850000000006</v>
          </cell>
        </row>
        <row r="335">
          <cell r="B335" t="str">
            <v>VMS Professional Fees</v>
          </cell>
          <cell r="G335">
            <v>14600</v>
          </cell>
        </row>
        <row r="336">
          <cell r="B336" t="str">
            <v>Jaspal Premi - Gratuity</v>
          </cell>
        </row>
        <row r="338">
          <cell r="G338">
            <v>119972.85</v>
          </cell>
        </row>
        <row r="340">
          <cell r="B340" t="str">
            <v>TDS</v>
          </cell>
        </row>
        <row r="341">
          <cell r="B341" t="str">
            <v>TDS on Salary</v>
          </cell>
          <cell r="G341">
            <v>1500</v>
          </cell>
        </row>
        <row r="342">
          <cell r="B342" t="str">
            <v>TDS on Interest</v>
          </cell>
          <cell r="G342">
            <v>65249.85</v>
          </cell>
        </row>
        <row r="343">
          <cell r="B343" t="str">
            <v>TDS on Contractors</v>
          </cell>
          <cell r="G343">
            <v>14373</v>
          </cell>
        </row>
        <row r="345">
          <cell r="G345">
            <v>81122.850000000006</v>
          </cell>
        </row>
        <row r="347">
          <cell r="B347" t="str">
            <v>PROVISION FOR EXPENSES</v>
          </cell>
        </row>
        <row r="348">
          <cell r="B348" t="str">
            <v>Water Tax</v>
          </cell>
          <cell r="G348">
            <v>58953</v>
          </cell>
        </row>
        <row r="349">
          <cell r="B349" t="str">
            <v>Staff Meals</v>
          </cell>
          <cell r="G349">
            <v>4301</v>
          </cell>
        </row>
        <row r="350">
          <cell r="B350" t="str">
            <v>Property Tax</v>
          </cell>
          <cell r="G350">
            <v>31671</v>
          </cell>
        </row>
        <row r="351">
          <cell r="B351" t="str">
            <v>Luxury Tax</v>
          </cell>
          <cell r="G351">
            <v>107037</v>
          </cell>
        </row>
        <row r="352">
          <cell r="B352" t="str">
            <v>Providend Fund</v>
          </cell>
          <cell r="G352">
            <v>3429</v>
          </cell>
        </row>
        <row r="353">
          <cell r="B353" t="str">
            <v>ESIC</v>
          </cell>
          <cell r="G353">
            <v>10643</v>
          </cell>
        </row>
        <row r="354">
          <cell r="B354" t="str">
            <v>Life Insurance</v>
          </cell>
          <cell r="G354">
            <v>5592</v>
          </cell>
        </row>
        <row r="355">
          <cell r="B355" t="str">
            <v>A.C.Maintainence</v>
          </cell>
          <cell r="G355">
            <v>17933</v>
          </cell>
        </row>
        <row r="356">
          <cell r="B356" t="str">
            <v xml:space="preserve">Newspaper </v>
          </cell>
          <cell r="G356">
            <v>2819</v>
          </cell>
        </row>
        <row r="357">
          <cell r="B357" t="str">
            <v>Cable T.V.Charge</v>
          </cell>
          <cell r="G357">
            <v>500</v>
          </cell>
        </row>
        <row r="358">
          <cell r="B358" t="str">
            <v>PF Consultancy</v>
          </cell>
          <cell r="G358">
            <v>117</v>
          </cell>
        </row>
        <row r="359">
          <cell r="B359" t="str">
            <v>Audit Fees</v>
          </cell>
          <cell r="G359">
            <v>16650</v>
          </cell>
        </row>
        <row r="360">
          <cell r="B360" t="str">
            <v>Vehicle Maintainence</v>
          </cell>
          <cell r="G360">
            <v>9688</v>
          </cell>
        </row>
        <row r="361">
          <cell r="B361" t="str">
            <v>Cash Handling Expenses</v>
          </cell>
          <cell r="G361">
            <v>113</v>
          </cell>
        </row>
        <row r="362">
          <cell r="B362" t="str">
            <v>Salaries</v>
          </cell>
          <cell r="G362">
            <v>6146</v>
          </cell>
        </row>
        <row r="363">
          <cell r="B363" t="str">
            <v>Electricity</v>
          </cell>
          <cell r="G363">
            <v>128455</v>
          </cell>
        </row>
        <row r="364">
          <cell r="B364" t="str">
            <v>Laundry</v>
          </cell>
          <cell r="G364">
            <v>7253</v>
          </cell>
        </row>
        <row r="365">
          <cell r="B365" t="str">
            <v>Printing &amp; Stationery</v>
          </cell>
          <cell r="G365">
            <v>12245</v>
          </cell>
        </row>
        <row r="366">
          <cell r="B366" t="str">
            <v>Telephone</v>
          </cell>
          <cell r="G366">
            <v>47728</v>
          </cell>
        </row>
        <row r="367">
          <cell r="B367" t="str">
            <v>Professional Tax</v>
          </cell>
          <cell r="G367">
            <v>3160</v>
          </cell>
        </row>
        <row r="369">
          <cell r="G369">
            <v>474433</v>
          </cell>
        </row>
        <row r="371">
          <cell r="B371" t="str">
            <v>LOANS AND ADVANCES</v>
          </cell>
        </row>
        <row r="373">
          <cell r="B373" t="str">
            <v>A.V.Balan</v>
          </cell>
          <cell r="G373">
            <v>1903062.5</v>
          </cell>
        </row>
        <row r="374">
          <cell r="B374" t="str">
            <v>Mrs. Savitha M.</v>
          </cell>
          <cell r="G374">
            <v>125308.92</v>
          </cell>
        </row>
        <row r="375">
          <cell r="B375" t="str">
            <v>Kismat Ltd</v>
          </cell>
          <cell r="G375">
            <v>15000</v>
          </cell>
        </row>
        <row r="377">
          <cell r="G377">
            <v>2043371.42</v>
          </cell>
        </row>
        <row r="379">
          <cell r="B379" t="str">
            <v>SECURITY DEPOSITS</v>
          </cell>
        </row>
        <row r="380">
          <cell r="B380" t="str">
            <v>Security deposit</v>
          </cell>
          <cell r="G380">
            <v>23000</v>
          </cell>
        </row>
        <row r="381">
          <cell r="B381" t="str">
            <v xml:space="preserve">Maruti Booking </v>
          </cell>
          <cell r="G381">
            <v>5000</v>
          </cell>
        </row>
        <row r="382">
          <cell r="B382" t="str">
            <v>Electricity Deposit</v>
          </cell>
          <cell r="G382">
            <v>38320</v>
          </cell>
        </row>
        <row r="383">
          <cell r="B383" t="str">
            <v>Gas Deposit</v>
          </cell>
          <cell r="G383">
            <v>2200</v>
          </cell>
        </row>
        <row r="385">
          <cell r="G385">
            <v>68520</v>
          </cell>
        </row>
        <row r="390">
          <cell r="B390" t="str">
            <v xml:space="preserve">HOTEL ROYAL(DIV.OF BALAN HOTELS PVT.LTD. </v>
          </cell>
        </row>
        <row r="392">
          <cell r="B392" t="str">
            <v xml:space="preserve">GROUPING FORMING PART OF THE BALANCE SHEET AND </v>
          </cell>
        </row>
        <row r="393">
          <cell r="B393" t="str">
            <v>PROFIT AND LOSS ACCOUNTS FOR THE PERIOD 30.09.2000</v>
          </cell>
        </row>
        <row r="397">
          <cell r="B397" t="str">
            <v>RENT RATES &amp; TAXES</v>
          </cell>
        </row>
        <row r="399">
          <cell r="B399" t="str">
            <v>Water Tax</v>
          </cell>
          <cell r="G399">
            <v>58953</v>
          </cell>
        </row>
        <row r="400">
          <cell r="B400" t="str">
            <v>Property Tax</v>
          </cell>
          <cell r="G400">
            <v>65753</v>
          </cell>
        </row>
        <row r="401">
          <cell r="B401" t="str">
            <v>Luxury Tax</v>
          </cell>
          <cell r="G401">
            <v>62091.64</v>
          </cell>
        </row>
        <row r="402">
          <cell r="B402" t="str">
            <v>Maharashtra Labour Welfare</v>
          </cell>
          <cell r="G402">
            <v>438</v>
          </cell>
        </row>
        <row r="403">
          <cell r="B403" t="str">
            <v>Legal Charges</v>
          </cell>
          <cell r="G403">
            <v>1000</v>
          </cell>
        </row>
        <row r="405">
          <cell r="G405">
            <v>188235.64</v>
          </cell>
        </row>
        <row r="407">
          <cell r="B407" t="str">
            <v>HOUSE KEEPING EXPENSES</v>
          </cell>
        </row>
        <row r="408">
          <cell r="B408" t="str">
            <v>Cable T.V. Charge</v>
          </cell>
          <cell r="G408">
            <v>6500</v>
          </cell>
        </row>
        <row r="409">
          <cell r="B409" t="str">
            <v>House Keeping Expense</v>
          </cell>
          <cell r="G409">
            <v>129338.25</v>
          </cell>
        </row>
        <row r="411">
          <cell r="G411">
            <v>135838.25</v>
          </cell>
        </row>
        <row r="413">
          <cell r="B413" t="str">
            <v>REPAIR &amp; MAINTAINENCE</v>
          </cell>
        </row>
        <row r="414">
          <cell r="B414" t="str">
            <v>Repair &amp; Maintainence</v>
          </cell>
          <cell r="G414">
            <v>20639</v>
          </cell>
        </row>
        <row r="415">
          <cell r="B415" t="str">
            <v>Monsoon Shed</v>
          </cell>
          <cell r="G415">
            <v>52252</v>
          </cell>
        </row>
        <row r="416">
          <cell r="B416" t="str">
            <v>A.C. Maintainence</v>
          </cell>
          <cell r="G416">
            <v>114733</v>
          </cell>
        </row>
        <row r="417">
          <cell r="B417" t="str">
            <v>Computer Maintainence</v>
          </cell>
          <cell r="G417">
            <v>14880</v>
          </cell>
        </row>
        <row r="418">
          <cell r="B418" t="str">
            <v>EPABX Maintainence</v>
          </cell>
          <cell r="G418">
            <v>6460</v>
          </cell>
        </row>
        <row r="420">
          <cell r="G420">
            <v>208964</v>
          </cell>
        </row>
        <row r="422">
          <cell r="B422" t="str">
            <v>OFFICE EXPENSES</v>
          </cell>
        </row>
        <row r="423">
          <cell r="B423" t="str">
            <v>Office Expenses</v>
          </cell>
          <cell r="G423">
            <v>24891</v>
          </cell>
        </row>
        <row r="424">
          <cell r="B424" t="str">
            <v>Membership &amp; Subscription</v>
          </cell>
          <cell r="G424">
            <v>3637</v>
          </cell>
        </row>
        <row r="426">
          <cell r="G426">
            <v>28528</v>
          </cell>
        </row>
      </sheetData>
      <sheetData sheetId="1">
        <row r="27">
          <cell r="F27">
            <v>5196699.32</v>
          </cell>
        </row>
      </sheetData>
      <sheetData sheetId="2">
        <row r="25">
          <cell r="E25">
            <v>8226798.5200000005</v>
          </cell>
        </row>
      </sheetData>
      <sheetData sheetId="3" refreshError="1"/>
      <sheetData sheetId="4">
        <row r="3">
          <cell r="B3" t="str">
            <v xml:space="preserve">M/S HOTEL ROYAL </v>
          </cell>
        </row>
      </sheetData>
      <sheetData sheetId="5">
        <row r="27">
          <cell r="F27">
            <v>5196699.32</v>
          </cell>
        </row>
      </sheetData>
      <sheetData sheetId="6">
        <row r="25">
          <cell r="E25">
            <v>8226798.5200000005</v>
          </cell>
        </row>
      </sheetData>
      <sheetData sheetId="7"/>
      <sheetData sheetId="8">
        <row r="3">
          <cell r="B3" t="str">
            <v xml:space="preserve">M/S HOTEL ROYAL </v>
          </cell>
        </row>
      </sheetData>
      <sheetData sheetId="9">
        <row r="27">
          <cell r="F27">
            <v>5196699.32</v>
          </cell>
        </row>
      </sheetData>
      <sheetData sheetId="10">
        <row r="25">
          <cell r="E25">
            <v>8226798.5200000005</v>
          </cell>
        </row>
      </sheetData>
      <sheetData sheetId="11"/>
      <sheetData sheetId="12">
        <row r="3">
          <cell r="B3" t="str">
            <v xml:space="preserve">M/S HOTEL ROYAL </v>
          </cell>
        </row>
      </sheetData>
      <sheetData sheetId="13">
        <row r="27">
          <cell r="F27">
            <v>5196699.32</v>
          </cell>
        </row>
      </sheetData>
      <sheetData sheetId="14">
        <row r="25">
          <cell r="E25">
            <v>8226798.5200000005</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row r="18">
          <cell r="V18" t="str">
            <v>Others</v>
          </cell>
        </row>
      </sheetData>
      <sheetData sheetId="2">
        <row r="7">
          <cell r="A7">
            <v>1</v>
          </cell>
          <cell r="B7" t="str">
            <v>94C</v>
          </cell>
          <cell r="C7">
            <v>4673</v>
          </cell>
          <cell r="D7">
            <v>0</v>
          </cell>
          <cell r="E7">
            <v>0</v>
          </cell>
          <cell r="F7">
            <v>0</v>
          </cell>
          <cell r="G7">
            <v>0</v>
          </cell>
          <cell r="I7">
            <v>4673</v>
          </cell>
          <cell r="J7">
            <v>333894</v>
          </cell>
          <cell r="L7">
            <v>170032</v>
          </cell>
          <cell r="N7">
            <v>39028</v>
          </cell>
          <cell r="P7">
            <v>303</v>
          </cell>
          <cell r="R7">
            <v>0</v>
          </cell>
          <cell r="S7">
            <v>0</v>
          </cell>
          <cell r="U7">
            <v>4673</v>
          </cell>
        </row>
        <row r="8">
          <cell r="A8">
            <v>2</v>
          </cell>
          <cell r="B8" t="str">
            <v>94J</v>
          </cell>
          <cell r="C8">
            <v>8160</v>
          </cell>
          <cell r="D8">
            <v>0</v>
          </cell>
          <cell r="E8">
            <v>0</v>
          </cell>
          <cell r="F8">
            <v>0</v>
          </cell>
          <cell r="G8">
            <v>0</v>
          </cell>
          <cell r="I8">
            <v>8160</v>
          </cell>
          <cell r="J8">
            <v>333897</v>
          </cell>
          <cell r="L8">
            <v>170032</v>
          </cell>
          <cell r="N8">
            <v>39028</v>
          </cell>
          <cell r="P8">
            <v>304</v>
          </cell>
          <cell r="R8">
            <v>0</v>
          </cell>
          <cell r="S8">
            <v>0</v>
          </cell>
          <cell r="U8">
            <v>8160</v>
          </cell>
        </row>
        <row r="9">
          <cell r="A9">
            <v>3</v>
          </cell>
          <cell r="B9" t="str">
            <v>94C</v>
          </cell>
          <cell r="C9">
            <v>653</v>
          </cell>
          <cell r="D9">
            <v>0</v>
          </cell>
          <cell r="E9">
            <v>0</v>
          </cell>
          <cell r="F9">
            <v>0</v>
          </cell>
          <cell r="G9">
            <v>0</v>
          </cell>
          <cell r="I9">
            <v>653</v>
          </cell>
          <cell r="J9">
            <v>333895</v>
          </cell>
          <cell r="L9">
            <v>170032</v>
          </cell>
          <cell r="N9">
            <v>39028</v>
          </cell>
          <cell r="P9">
            <v>308</v>
          </cell>
          <cell r="R9">
            <v>0</v>
          </cell>
          <cell r="S9">
            <v>0</v>
          </cell>
          <cell r="U9">
            <v>653</v>
          </cell>
        </row>
        <row r="10">
          <cell r="A10">
            <v>4</v>
          </cell>
          <cell r="B10" t="str">
            <v>94J</v>
          </cell>
          <cell r="C10">
            <v>4080</v>
          </cell>
          <cell r="D10">
            <v>0</v>
          </cell>
          <cell r="E10">
            <v>0</v>
          </cell>
          <cell r="F10">
            <v>0</v>
          </cell>
          <cell r="G10">
            <v>0</v>
          </cell>
          <cell r="I10">
            <v>4080</v>
          </cell>
          <cell r="J10">
            <v>334034</v>
          </cell>
          <cell r="L10">
            <v>170032</v>
          </cell>
          <cell r="N10">
            <v>39058</v>
          </cell>
          <cell r="P10">
            <v>547</v>
          </cell>
          <cell r="R10">
            <v>0</v>
          </cell>
          <cell r="S10">
            <v>0</v>
          </cell>
          <cell r="U10">
            <v>4080</v>
          </cell>
        </row>
        <row r="11">
          <cell r="A11">
            <v>5</v>
          </cell>
          <cell r="B11" t="str">
            <v>94I</v>
          </cell>
          <cell r="C11">
            <v>23936</v>
          </cell>
          <cell r="D11">
            <v>0</v>
          </cell>
          <cell r="E11">
            <v>0</v>
          </cell>
          <cell r="F11">
            <v>210</v>
          </cell>
          <cell r="G11">
            <v>0</v>
          </cell>
          <cell r="I11">
            <v>24146</v>
          </cell>
          <cell r="J11">
            <v>334035</v>
          </cell>
          <cell r="L11">
            <v>170032</v>
          </cell>
          <cell r="N11">
            <v>39058</v>
          </cell>
          <cell r="P11">
            <v>565</v>
          </cell>
          <cell r="R11">
            <v>0</v>
          </cell>
          <cell r="S11">
            <v>0</v>
          </cell>
          <cell r="U11">
            <v>24146</v>
          </cell>
        </row>
        <row r="12">
          <cell r="A12">
            <v>6</v>
          </cell>
          <cell r="B12" t="str">
            <v>94C</v>
          </cell>
          <cell r="C12">
            <v>9031</v>
          </cell>
          <cell r="D12">
            <v>0</v>
          </cell>
          <cell r="E12">
            <v>0</v>
          </cell>
          <cell r="F12">
            <v>0</v>
          </cell>
          <cell r="G12">
            <v>0</v>
          </cell>
          <cell r="I12">
            <v>9031</v>
          </cell>
          <cell r="J12">
            <v>260584</v>
          </cell>
          <cell r="L12">
            <v>170032</v>
          </cell>
          <cell r="N12">
            <v>39057</v>
          </cell>
          <cell r="P12">
            <v>464</v>
          </cell>
          <cell r="R12">
            <v>0</v>
          </cell>
          <cell r="S12">
            <v>0</v>
          </cell>
          <cell r="U12">
            <v>9031</v>
          </cell>
        </row>
        <row r="13">
          <cell r="A13">
            <v>7</v>
          </cell>
          <cell r="B13" t="str">
            <v>94C</v>
          </cell>
          <cell r="C13">
            <v>2674</v>
          </cell>
          <cell r="D13">
            <v>0</v>
          </cell>
          <cell r="E13">
            <v>0</v>
          </cell>
          <cell r="F13">
            <v>0</v>
          </cell>
          <cell r="G13">
            <v>0</v>
          </cell>
          <cell r="I13">
            <v>2674</v>
          </cell>
          <cell r="J13">
            <v>260585</v>
          </cell>
          <cell r="L13">
            <v>170032</v>
          </cell>
          <cell r="N13">
            <v>39057</v>
          </cell>
          <cell r="P13">
            <v>447</v>
          </cell>
          <cell r="R13">
            <v>0</v>
          </cell>
          <cell r="S13">
            <v>0</v>
          </cell>
          <cell r="U13">
            <v>2674</v>
          </cell>
        </row>
        <row r="14">
          <cell r="A14">
            <v>8</v>
          </cell>
          <cell r="B14" t="str">
            <v>94I</v>
          </cell>
          <cell r="C14">
            <v>8976</v>
          </cell>
          <cell r="D14">
            <v>0</v>
          </cell>
          <cell r="E14">
            <v>0</v>
          </cell>
          <cell r="F14">
            <v>0</v>
          </cell>
          <cell r="G14">
            <v>0</v>
          </cell>
          <cell r="I14">
            <v>8976</v>
          </cell>
          <cell r="J14">
            <v>260643</v>
          </cell>
          <cell r="L14">
            <v>170032</v>
          </cell>
          <cell r="N14">
            <v>39064</v>
          </cell>
          <cell r="P14">
            <v>513</v>
          </cell>
          <cell r="R14">
            <v>0</v>
          </cell>
          <cell r="S14">
            <v>0</v>
          </cell>
          <cell r="U14">
            <v>8976</v>
          </cell>
        </row>
        <row r="15">
          <cell r="A15">
            <v>9</v>
          </cell>
          <cell r="B15" t="str">
            <v>94C</v>
          </cell>
          <cell r="C15">
            <v>6376</v>
          </cell>
          <cell r="D15">
            <v>0</v>
          </cell>
          <cell r="E15">
            <v>0</v>
          </cell>
          <cell r="F15">
            <v>0</v>
          </cell>
          <cell r="G15">
            <v>0</v>
          </cell>
          <cell r="I15">
            <v>6376</v>
          </cell>
          <cell r="J15">
            <v>265593</v>
          </cell>
          <cell r="L15">
            <v>170032</v>
          </cell>
          <cell r="N15">
            <v>39088</v>
          </cell>
          <cell r="P15">
            <v>399</v>
          </cell>
          <cell r="R15">
            <v>0</v>
          </cell>
          <cell r="S15">
            <v>0</v>
          </cell>
          <cell r="T15">
            <v>234</v>
          </cell>
          <cell r="U15">
            <v>6376</v>
          </cell>
        </row>
        <row r="16">
          <cell r="A16">
            <v>10</v>
          </cell>
          <cell r="B16" t="str">
            <v>94C</v>
          </cell>
          <cell r="C16">
            <v>85</v>
          </cell>
          <cell r="D16">
            <v>0</v>
          </cell>
          <cell r="E16">
            <v>0</v>
          </cell>
          <cell r="F16">
            <v>0</v>
          </cell>
          <cell r="G16">
            <v>0</v>
          </cell>
          <cell r="I16">
            <v>85</v>
          </cell>
          <cell r="J16">
            <v>265595</v>
          </cell>
          <cell r="L16">
            <v>170032</v>
          </cell>
          <cell r="N16">
            <v>39088</v>
          </cell>
          <cell r="P16">
            <v>398</v>
          </cell>
          <cell r="R16">
            <v>0</v>
          </cell>
          <cell r="S16">
            <v>0</v>
          </cell>
          <cell r="U16">
            <v>85</v>
          </cell>
        </row>
        <row r="17">
          <cell r="A17">
            <v>11</v>
          </cell>
          <cell r="B17" t="str">
            <v>94C</v>
          </cell>
          <cell r="C17">
            <v>8127</v>
          </cell>
          <cell r="D17">
            <v>0</v>
          </cell>
          <cell r="E17">
            <v>0</v>
          </cell>
          <cell r="F17">
            <v>0</v>
          </cell>
          <cell r="G17">
            <v>0</v>
          </cell>
          <cell r="I17">
            <v>8127</v>
          </cell>
          <cell r="J17">
            <v>265594</v>
          </cell>
          <cell r="L17">
            <v>170032</v>
          </cell>
          <cell r="N17">
            <v>39088</v>
          </cell>
          <cell r="P17">
            <v>400</v>
          </cell>
          <cell r="R17">
            <v>0</v>
          </cell>
          <cell r="S17">
            <v>0</v>
          </cell>
          <cell r="U17">
            <v>8127</v>
          </cell>
        </row>
        <row r="18">
          <cell r="A18">
            <v>12</v>
          </cell>
          <cell r="B18" t="str">
            <v>94C</v>
          </cell>
          <cell r="C18">
            <v>2490</v>
          </cell>
          <cell r="D18">
            <v>0</v>
          </cell>
          <cell r="E18">
            <v>0</v>
          </cell>
          <cell r="F18">
            <v>0</v>
          </cell>
          <cell r="G18">
            <v>0</v>
          </cell>
          <cell r="I18">
            <v>2490</v>
          </cell>
          <cell r="J18">
            <v>365604</v>
          </cell>
          <cell r="L18">
            <v>170032</v>
          </cell>
          <cell r="N18">
            <v>39090</v>
          </cell>
          <cell r="P18">
            <v>560</v>
          </cell>
          <cell r="R18">
            <v>0</v>
          </cell>
          <cell r="S18">
            <v>0</v>
          </cell>
          <cell r="U18">
            <v>2490</v>
          </cell>
        </row>
        <row r="19">
          <cell r="A19">
            <v>13</v>
          </cell>
          <cell r="B19" t="str">
            <v>94C</v>
          </cell>
          <cell r="C19">
            <v>157</v>
          </cell>
          <cell r="D19">
            <v>0</v>
          </cell>
          <cell r="E19">
            <v>0</v>
          </cell>
          <cell r="F19">
            <v>0</v>
          </cell>
          <cell r="G19">
            <v>0</v>
          </cell>
          <cell r="I19">
            <v>157</v>
          </cell>
          <cell r="J19">
            <v>365605</v>
          </cell>
          <cell r="L19">
            <v>170032</v>
          </cell>
          <cell r="N19">
            <v>39090</v>
          </cell>
          <cell r="P19">
            <v>519</v>
          </cell>
          <cell r="R19">
            <v>0</v>
          </cell>
          <cell r="S19">
            <v>0</v>
          </cell>
          <cell r="U19">
            <v>157</v>
          </cell>
        </row>
        <row r="20">
          <cell r="I20">
            <v>0</v>
          </cell>
          <cell r="U20">
            <v>0</v>
          </cell>
        </row>
        <row r="21">
          <cell r="I21">
            <v>0</v>
          </cell>
          <cell r="U21">
            <v>0</v>
          </cell>
        </row>
        <row r="22">
          <cell r="I22">
            <v>0</v>
          </cell>
          <cell r="U22">
            <v>0</v>
          </cell>
        </row>
        <row r="23">
          <cell r="A23" t="str">
            <v>Total</v>
          </cell>
          <cell r="C23">
            <v>79418</v>
          </cell>
          <cell r="D23">
            <v>0</v>
          </cell>
          <cell r="E23">
            <v>0</v>
          </cell>
          <cell r="F23">
            <v>210</v>
          </cell>
          <cell r="G23">
            <v>0</v>
          </cell>
          <cell r="H23">
            <v>0</v>
          </cell>
          <cell r="I23">
            <v>79628</v>
          </cell>
          <cell r="R23">
            <v>0</v>
          </cell>
          <cell r="S23">
            <v>0</v>
          </cell>
          <cell r="T23" t="e">
            <v>#REF!</v>
          </cell>
          <cell r="U23">
            <v>79628</v>
          </cell>
        </row>
        <row r="819">
          <cell r="IV819">
            <v>193</v>
          </cell>
        </row>
        <row r="820">
          <cell r="IV820" t="str">
            <v>94A</v>
          </cell>
        </row>
        <row r="821">
          <cell r="IV821" t="str">
            <v>94B</v>
          </cell>
        </row>
        <row r="822">
          <cell r="IV822" t="str">
            <v>4BB</v>
          </cell>
        </row>
        <row r="823">
          <cell r="IV823" t="str">
            <v>94C</v>
          </cell>
        </row>
        <row r="824">
          <cell r="IV824" t="str">
            <v>94D</v>
          </cell>
        </row>
        <row r="825">
          <cell r="IV825" t="str">
            <v>4EE</v>
          </cell>
        </row>
        <row r="826">
          <cell r="IV826" t="str">
            <v>94F</v>
          </cell>
        </row>
        <row r="827">
          <cell r="IV827" t="str">
            <v>94G</v>
          </cell>
        </row>
        <row r="828">
          <cell r="IV828" t="str">
            <v>94H</v>
          </cell>
        </row>
        <row r="829">
          <cell r="IV829" t="str">
            <v>94I</v>
          </cell>
        </row>
        <row r="830">
          <cell r="IV830" t="str">
            <v>94J</v>
          </cell>
        </row>
        <row r="831">
          <cell r="IV831" t="str">
            <v>94K</v>
          </cell>
        </row>
        <row r="832">
          <cell r="IV832" t="str">
            <v>94L</v>
          </cell>
        </row>
      </sheetData>
      <sheetData sheetId="3">
        <row r="11">
          <cell r="A11">
            <v>1</v>
          </cell>
          <cell r="R11">
            <v>306</v>
          </cell>
          <cell r="W11">
            <v>306</v>
          </cell>
        </row>
        <row r="12">
          <cell r="A12">
            <v>3</v>
          </cell>
          <cell r="R12">
            <v>25</v>
          </cell>
          <cell r="W12">
            <v>25</v>
          </cell>
        </row>
        <row r="13">
          <cell r="A13">
            <v>1</v>
          </cell>
          <cell r="R13">
            <v>445</v>
          </cell>
          <cell r="W13">
            <v>445</v>
          </cell>
        </row>
        <row r="14">
          <cell r="A14">
            <v>1</v>
          </cell>
          <cell r="R14">
            <v>600</v>
          </cell>
          <cell r="W14">
            <v>600</v>
          </cell>
        </row>
        <row r="15">
          <cell r="A15">
            <v>1</v>
          </cell>
          <cell r="R15">
            <v>306</v>
          </cell>
          <cell r="W15">
            <v>306</v>
          </cell>
        </row>
        <row r="16">
          <cell r="A16">
            <v>1</v>
          </cell>
          <cell r="R16">
            <v>45</v>
          </cell>
          <cell r="W16">
            <v>45</v>
          </cell>
        </row>
        <row r="17">
          <cell r="A17">
            <v>1</v>
          </cell>
          <cell r="R17">
            <v>59</v>
          </cell>
          <cell r="W17">
            <v>59</v>
          </cell>
        </row>
        <row r="18">
          <cell r="A18">
            <v>1</v>
          </cell>
          <cell r="R18">
            <v>63</v>
          </cell>
          <cell r="W18">
            <v>63</v>
          </cell>
        </row>
        <row r="19">
          <cell r="A19">
            <v>1</v>
          </cell>
          <cell r="R19">
            <v>108</v>
          </cell>
          <cell r="W19">
            <v>108</v>
          </cell>
        </row>
        <row r="20">
          <cell r="A20">
            <v>1</v>
          </cell>
          <cell r="R20">
            <v>122</v>
          </cell>
          <cell r="W20">
            <v>122</v>
          </cell>
        </row>
        <row r="21">
          <cell r="A21">
            <v>1</v>
          </cell>
          <cell r="R21">
            <v>263</v>
          </cell>
          <cell r="W21">
            <v>263</v>
          </cell>
        </row>
        <row r="22">
          <cell r="A22">
            <v>1</v>
          </cell>
          <cell r="R22">
            <v>282</v>
          </cell>
          <cell r="W22">
            <v>282</v>
          </cell>
        </row>
        <row r="23">
          <cell r="A23">
            <v>1</v>
          </cell>
          <cell r="R23">
            <v>306</v>
          </cell>
          <cell r="W23">
            <v>306</v>
          </cell>
        </row>
        <row r="24">
          <cell r="A24">
            <v>3</v>
          </cell>
          <cell r="R24">
            <v>628</v>
          </cell>
          <cell r="W24">
            <v>628</v>
          </cell>
        </row>
        <row r="25">
          <cell r="A25">
            <v>1</v>
          </cell>
          <cell r="R25">
            <v>51</v>
          </cell>
          <cell r="W25">
            <v>51</v>
          </cell>
        </row>
        <row r="26">
          <cell r="A26">
            <v>1</v>
          </cell>
          <cell r="R26">
            <v>85</v>
          </cell>
          <cell r="W26">
            <v>85</v>
          </cell>
        </row>
        <row r="27">
          <cell r="A27">
            <v>1</v>
          </cell>
          <cell r="R27">
            <v>102</v>
          </cell>
          <cell r="W27">
            <v>102</v>
          </cell>
        </row>
        <row r="28">
          <cell r="A28">
            <v>1</v>
          </cell>
          <cell r="R28">
            <v>33</v>
          </cell>
          <cell r="W28">
            <v>33</v>
          </cell>
        </row>
        <row r="29">
          <cell r="A29">
            <v>1</v>
          </cell>
          <cell r="R29">
            <v>426</v>
          </cell>
          <cell r="W29">
            <v>426</v>
          </cell>
        </row>
        <row r="30">
          <cell r="A30">
            <v>1</v>
          </cell>
          <cell r="R30">
            <v>551</v>
          </cell>
          <cell r="W30">
            <v>551</v>
          </cell>
        </row>
        <row r="31">
          <cell r="A31">
            <v>1</v>
          </cell>
          <cell r="R31">
            <v>520</v>
          </cell>
          <cell r="W31">
            <v>520</v>
          </cell>
        </row>
        <row r="32">
          <cell r="A32">
            <v>2</v>
          </cell>
          <cell r="R32">
            <v>8160</v>
          </cell>
          <cell r="W32">
            <v>8160</v>
          </cell>
        </row>
        <row r="33">
          <cell r="A33">
            <v>7</v>
          </cell>
          <cell r="R33">
            <v>291</v>
          </cell>
          <cell r="W33">
            <v>291</v>
          </cell>
        </row>
        <row r="34">
          <cell r="A34">
            <v>7</v>
          </cell>
          <cell r="R34">
            <v>329</v>
          </cell>
          <cell r="W34">
            <v>329</v>
          </cell>
        </row>
        <row r="35">
          <cell r="A35">
            <v>7</v>
          </cell>
          <cell r="R35">
            <v>169</v>
          </cell>
          <cell r="W35">
            <v>169</v>
          </cell>
        </row>
        <row r="36">
          <cell r="A36">
            <v>6</v>
          </cell>
          <cell r="R36">
            <v>235</v>
          </cell>
          <cell r="W36">
            <v>235</v>
          </cell>
        </row>
        <row r="37">
          <cell r="A37">
            <v>7</v>
          </cell>
          <cell r="R37">
            <v>369</v>
          </cell>
          <cell r="W37">
            <v>369</v>
          </cell>
        </row>
        <row r="38">
          <cell r="A38">
            <v>7</v>
          </cell>
          <cell r="R38">
            <v>86</v>
          </cell>
          <cell r="W38">
            <v>86</v>
          </cell>
        </row>
        <row r="39">
          <cell r="A39">
            <v>6</v>
          </cell>
          <cell r="R39">
            <v>365</v>
          </cell>
          <cell r="W39">
            <v>365</v>
          </cell>
        </row>
        <row r="40">
          <cell r="A40">
            <v>6</v>
          </cell>
          <cell r="R40">
            <v>8414</v>
          </cell>
          <cell r="W40">
            <v>8414</v>
          </cell>
        </row>
        <row r="41">
          <cell r="A41">
            <v>7</v>
          </cell>
          <cell r="R41">
            <v>192</v>
          </cell>
          <cell r="W41">
            <v>192</v>
          </cell>
        </row>
        <row r="42">
          <cell r="A42">
            <v>7</v>
          </cell>
          <cell r="R42">
            <v>205</v>
          </cell>
          <cell r="W42">
            <v>205</v>
          </cell>
        </row>
        <row r="43">
          <cell r="A43">
            <v>6</v>
          </cell>
          <cell r="R43">
            <v>17</v>
          </cell>
          <cell r="W43">
            <v>17</v>
          </cell>
        </row>
        <row r="44">
          <cell r="A44">
            <v>7</v>
          </cell>
          <cell r="R44">
            <v>445</v>
          </cell>
          <cell r="W44">
            <v>445</v>
          </cell>
        </row>
        <row r="45">
          <cell r="A45">
            <v>4</v>
          </cell>
          <cell r="R45">
            <v>4080</v>
          </cell>
          <cell r="W45">
            <v>4080</v>
          </cell>
        </row>
        <row r="46">
          <cell r="A46">
            <v>7</v>
          </cell>
          <cell r="R46">
            <v>148</v>
          </cell>
          <cell r="W46">
            <v>148</v>
          </cell>
        </row>
        <row r="47">
          <cell r="A47">
            <v>7</v>
          </cell>
          <cell r="R47">
            <v>440</v>
          </cell>
          <cell r="W47">
            <v>440</v>
          </cell>
        </row>
        <row r="48">
          <cell r="A48">
            <v>5</v>
          </cell>
          <cell r="R48">
            <v>6194</v>
          </cell>
          <cell r="W48">
            <v>6194</v>
          </cell>
        </row>
        <row r="49">
          <cell r="A49">
            <v>5</v>
          </cell>
          <cell r="R49">
            <v>8976</v>
          </cell>
          <cell r="W49">
            <v>8976</v>
          </cell>
        </row>
        <row r="50">
          <cell r="A50">
            <v>5</v>
          </cell>
          <cell r="R50">
            <v>8976</v>
          </cell>
          <cell r="W50">
            <v>8976</v>
          </cell>
        </row>
        <row r="51">
          <cell r="A51">
            <v>9</v>
          </cell>
          <cell r="R51">
            <v>507</v>
          </cell>
          <cell r="W51">
            <v>507</v>
          </cell>
        </row>
        <row r="52">
          <cell r="A52">
            <v>11</v>
          </cell>
          <cell r="R52">
            <v>102</v>
          </cell>
          <cell r="W52">
            <v>102</v>
          </cell>
        </row>
        <row r="53">
          <cell r="A53">
            <v>11</v>
          </cell>
          <cell r="R53">
            <v>34</v>
          </cell>
          <cell r="W53">
            <v>34</v>
          </cell>
        </row>
        <row r="54">
          <cell r="A54">
            <v>11</v>
          </cell>
          <cell r="R54">
            <v>198</v>
          </cell>
          <cell r="W54">
            <v>198</v>
          </cell>
        </row>
        <row r="55">
          <cell r="A55">
            <v>11</v>
          </cell>
          <cell r="R55">
            <v>354</v>
          </cell>
          <cell r="W55">
            <v>354</v>
          </cell>
        </row>
        <row r="56">
          <cell r="A56">
            <v>11</v>
          </cell>
          <cell r="R56">
            <v>649</v>
          </cell>
          <cell r="W56">
            <v>649</v>
          </cell>
        </row>
        <row r="57">
          <cell r="A57">
            <v>11</v>
          </cell>
          <cell r="R57">
            <v>1045</v>
          </cell>
          <cell r="W57">
            <v>1045</v>
          </cell>
        </row>
        <row r="58">
          <cell r="A58">
            <v>9</v>
          </cell>
          <cell r="R58">
            <v>2191</v>
          </cell>
          <cell r="W58">
            <v>2191</v>
          </cell>
        </row>
        <row r="59">
          <cell r="A59">
            <v>8</v>
          </cell>
          <cell r="R59">
            <v>8976</v>
          </cell>
          <cell r="W59">
            <v>8976</v>
          </cell>
        </row>
        <row r="60">
          <cell r="A60">
            <v>11</v>
          </cell>
          <cell r="R60">
            <v>386</v>
          </cell>
          <cell r="W60">
            <v>386</v>
          </cell>
        </row>
        <row r="61">
          <cell r="A61">
            <v>11</v>
          </cell>
          <cell r="R61">
            <v>177</v>
          </cell>
          <cell r="W61">
            <v>177</v>
          </cell>
        </row>
        <row r="62">
          <cell r="A62">
            <v>11</v>
          </cell>
          <cell r="R62">
            <v>222</v>
          </cell>
          <cell r="W62">
            <v>222</v>
          </cell>
        </row>
        <row r="63">
          <cell r="A63">
            <v>11</v>
          </cell>
          <cell r="R63">
            <v>612</v>
          </cell>
          <cell r="W63">
            <v>612</v>
          </cell>
        </row>
        <row r="64">
          <cell r="A64">
            <v>11</v>
          </cell>
          <cell r="R64">
            <v>37</v>
          </cell>
          <cell r="W64">
            <v>37</v>
          </cell>
        </row>
        <row r="65">
          <cell r="A65">
            <v>9</v>
          </cell>
          <cell r="R65">
            <v>180</v>
          </cell>
          <cell r="W65">
            <v>180</v>
          </cell>
        </row>
        <row r="66">
          <cell r="A66">
            <v>11</v>
          </cell>
          <cell r="R66">
            <v>368</v>
          </cell>
          <cell r="W66">
            <v>368</v>
          </cell>
        </row>
        <row r="67">
          <cell r="A67">
            <v>9</v>
          </cell>
          <cell r="R67">
            <v>607</v>
          </cell>
          <cell r="W67">
            <v>607</v>
          </cell>
        </row>
        <row r="68">
          <cell r="A68">
            <v>9</v>
          </cell>
          <cell r="R68">
            <v>1904</v>
          </cell>
          <cell r="W68">
            <v>1904</v>
          </cell>
        </row>
        <row r="69">
          <cell r="A69">
            <v>11</v>
          </cell>
          <cell r="R69">
            <v>770</v>
          </cell>
          <cell r="W69">
            <v>770</v>
          </cell>
        </row>
        <row r="70">
          <cell r="A70">
            <v>11</v>
          </cell>
          <cell r="R70">
            <v>63</v>
          </cell>
          <cell r="W70">
            <v>63</v>
          </cell>
        </row>
        <row r="71">
          <cell r="A71">
            <v>11</v>
          </cell>
          <cell r="R71">
            <v>63</v>
          </cell>
          <cell r="W71">
            <v>63</v>
          </cell>
        </row>
        <row r="72">
          <cell r="A72">
            <v>11</v>
          </cell>
          <cell r="R72">
            <v>108</v>
          </cell>
          <cell r="W72">
            <v>108</v>
          </cell>
        </row>
        <row r="73">
          <cell r="A73">
            <v>11</v>
          </cell>
          <cell r="R73">
            <v>147</v>
          </cell>
          <cell r="W73">
            <v>147</v>
          </cell>
        </row>
        <row r="74">
          <cell r="A74">
            <v>9</v>
          </cell>
          <cell r="R74">
            <v>987</v>
          </cell>
          <cell r="W74">
            <v>987</v>
          </cell>
        </row>
        <row r="75">
          <cell r="A75">
            <v>11</v>
          </cell>
          <cell r="R75">
            <v>429</v>
          </cell>
          <cell r="W75">
            <v>429</v>
          </cell>
        </row>
        <row r="76">
          <cell r="A76">
            <v>11</v>
          </cell>
          <cell r="R76">
            <v>485</v>
          </cell>
          <cell r="W76">
            <v>485</v>
          </cell>
        </row>
        <row r="77">
          <cell r="A77">
            <v>11</v>
          </cell>
          <cell r="R77">
            <v>11</v>
          </cell>
          <cell r="W77">
            <v>11</v>
          </cell>
        </row>
        <row r="78">
          <cell r="A78">
            <v>11</v>
          </cell>
          <cell r="R78">
            <v>29</v>
          </cell>
          <cell r="W78">
            <v>29</v>
          </cell>
        </row>
        <row r="79">
          <cell r="A79">
            <v>11</v>
          </cell>
          <cell r="R79">
            <v>61</v>
          </cell>
          <cell r="W79">
            <v>61</v>
          </cell>
        </row>
        <row r="80">
          <cell r="A80">
            <v>11</v>
          </cell>
          <cell r="R80">
            <v>123</v>
          </cell>
          <cell r="W80">
            <v>123</v>
          </cell>
        </row>
        <row r="81">
          <cell r="A81">
            <v>11</v>
          </cell>
          <cell r="R81">
            <v>164</v>
          </cell>
          <cell r="W81">
            <v>164</v>
          </cell>
        </row>
        <row r="82">
          <cell r="A82">
            <v>11</v>
          </cell>
          <cell r="R82">
            <v>169</v>
          </cell>
          <cell r="W82">
            <v>169</v>
          </cell>
        </row>
        <row r="83">
          <cell r="A83">
            <v>11</v>
          </cell>
          <cell r="R83">
            <v>55</v>
          </cell>
          <cell r="W83">
            <v>55</v>
          </cell>
        </row>
        <row r="84">
          <cell r="A84">
            <v>11</v>
          </cell>
          <cell r="R84">
            <v>181</v>
          </cell>
          <cell r="W84">
            <v>181</v>
          </cell>
        </row>
        <row r="85">
          <cell r="A85">
            <v>11</v>
          </cell>
          <cell r="R85">
            <v>100</v>
          </cell>
          <cell r="W85">
            <v>100</v>
          </cell>
        </row>
        <row r="86">
          <cell r="A86">
            <v>11</v>
          </cell>
          <cell r="R86">
            <v>165</v>
          </cell>
          <cell r="W86">
            <v>165</v>
          </cell>
        </row>
        <row r="87">
          <cell r="A87">
            <v>11</v>
          </cell>
          <cell r="R87">
            <v>119</v>
          </cell>
          <cell r="W87">
            <v>119</v>
          </cell>
        </row>
        <row r="88">
          <cell r="A88">
            <v>12</v>
          </cell>
          <cell r="R88">
            <v>256</v>
          </cell>
          <cell r="W88">
            <v>256</v>
          </cell>
        </row>
        <row r="89">
          <cell r="A89">
            <v>12</v>
          </cell>
          <cell r="R89">
            <v>365</v>
          </cell>
          <cell r="W89">
            <v>365</v>
          </cell>
        </row>
        <row r="90">
          <cell r="A90">
            <v>11</v>
          </cell>
          <cell r="R90">
            <v>166</v>
          </cell>
          <cell r="W90">
            <v>166</v>
          </cell>
        </row>
        <row r="91">
          <cell r="A91">
            <v>12</v>
          </cell>
          <cell r="R91">
            <v>242</v>
          </cell>
          <cell r="W91">
            <v>242</v>
          </cell>
        </row>
        <row r="92">
          <cell r="A92">
            <v>10</v>
          </cell>
          <cell r="R92">
            <v>85</v>
          </cell>
          <cell r="W92">
            <v>85</v>
          </cell>
        </row>
        <row r="93">
          <cell r="A93">
            <v>11</v>
          </cell>
          <cell r="R93">
            <v>474</v>
          </cell>
          <cell r="W93">
            <v>474</v>
          </cell>
        </row>
        <row r="94">
          <cell r="A94">
            <v>12</v>
          </cell>
          <cell r="R94">
            <v>37</v>
          </cell>
          <cell r="W94">
            <v>37</v>
          </cell>
        </row>
        <row r="95">
          <cell r="A95">
            <v>12</v>
          </cell>
          <cell r="R95">
            <v>1507</v>
          </cell>
          <cell r="W95">
            <v>1507</v>
          </cell>
        </row>
        <row r="96">
          <cell r="A96">
            <v>13</v>
          </cell>
          <cell r="R96">
            <v>157</v>
          </cell>
          <cell r="W96">
            <v>157</v>
          </cell>
        </row>
        <row r="97">
          <cell r="A97">
            <v>11</v>
          </cell>
          <cell r="R97">
            <v>61</v>
          </cell>
          <cell r="W97">
            <v>61</v>
          </cell>
        </row>
        <row r="98">
          <cell r="A98">
            <v>12</v>
          </cell>
          <cell r="R98">
            <v>83</v>
          </cell>
          <cell r="W98">
            <v>83</v>
          </cell>
        </row>
        <row r="105">
          <cell r="A105" t="str">
            <v>Total</v>
          </cell>
          <cell r="R105">
            <v>79628</v>
          </cell>
          <cell r="W105">
            <v>79628</v>
          </cell>
        </row>
      </sheetData>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row r="18">
          <cell r="V18" t="str">
            <v>Others</v>
          </cell>
        </row>
      </sheetData>
      <sheetData sheetId="2">
        <row r="7">
          <cell r="A7">
            <v>1</v>
          </cell>
          <cell r="B7" t="str">
            <v>94C</v>
          </cell>
          <cell r="C7">
            <v>4673</v>
          </cell>
          <cell r="D7">
            <v>0</v>
          </cell>
          <cell r="E7">
            <v>0</v>
          </cell>
          <cell r="F7">
            <v>0</v>
          </cell>
          <cell r="G7">
            <v>0</v>
          </cell>
          <cell r="I7">
            <v>4673</v>
          </cell>
          <cell r="J7">
            <v>333894</v>
          </cell>
          <cell r="L7">
            <v>170032</v>
          </cell>
          <cell r="N7">
            <v>39028</v>
          </cell>
          <cell r="P7">
            <v>303</v>
          </cell>
          <cell r="R7">
            <v>0</v>
          </cell>
          <cell r="S7">
            <v>0</v>
          </cell>
          <cell r="U7">
            <v>4673</v>
          </cell>
        </row>
        <row r="8">
          <cell r="A8">
            <v>2</v>
          </cell>
          <cell r="B8" t="str">
            <v>94J</v>
          </cell>
          <cell r="C8">
            <v>8160</v>
          </cell>
          <cell r="D8">
            <v>0</v>
          </cell>
          <cell r="E8">
            <v>0</v>
          </cell>
          <cell r="F8">
            <v>0</v>
          </cell>
          <cell r="G8">
            <v>0</v>
          </cell>
          <cell r="I8">
            <v>8160</v>
          </cell>
          <cell r="J8">
            <v>333897</v>
          </cell>
          <cell r="L8">
            <v>170032</v>
          </cell>
          <cell r="N8">
            <v>39028</v>
          </cell>
          <cell r="P8">
            <v>304</v>
          </cell>
          <cell r="R8">
            <v>0</v>
          </cell>
          <cell r="S8">
            <v>0</v>
          </cell>
          <cell r="U8">
            <v>8160</v>
          </cell>
        </row>
        <row r="9">
          <cell r="A9">
            <v>3</v>
          </cell>
          <cell r="B9" t="str">
            <v>94C</v>
          </cell>
          <cell r="C9">
            <v>653</v>
          </cell>
          <cell r="D9">
            <v>0</v>
          </cell>
          <cell r="E9">
            <v>0</v>
          </cell>
          <cell r="F9">
            <v>0</v>
          </cell>
          <cell r="G9">
            <v>0</v>
          </cell>
          <cell r="I9">
            <v>653</v>
          </cell>
          <cell r="J9">
            <v>333895</v>
          </cell>
          <cell r="L9">
            <v>170032</v>
          </cell>
          <cell r="N9">
            <v>39028</v>
          </cell>
          <cell r="P9">
            <v>308</v>
          </cell>
          <cell r="R9">
            <v>0</v>
          </cell>
          <cell r="S9">
            <v>0</v>
          </cell>
          <cell r="U9">
            <v>653</v>
          </cell>
        </row>
        <row r="10">
          <cell r="A10">
            <v>4</v>
          </cell>
          <cell r="B10" t="str">
            <v>94J</v>
          </cell>
          <cell r="C10">
            <v>4080</v>
          </cell>
          <cell r="D10">
            <v>0</v>
          </cell>
          <cell r="E10">
            <v>0</v>
          </cell>
          <cell r="F10">
            <v>0</v>
          </cell>
          <cell r="G10">
            <v>0</v>
          </cell>
          <cell r="I10">
            <v>4080</v>
          </cell>
          <cell r="J10">
            <v>334034</v>
          </cell>
          <cell r="L10">
            <v>170032</v>
          </cell>
          <cell r="N10">
            <v>39058</v>
          </cell>
          <cell r="P10">
            <v>547</v>
          </cell>
          <cell r="R10">
            <v>0</v>
          </cell>
          <cell r="S10">
            <v>0</v>
          </cell>
          <cell r="U10">
            <v>4080</v>
          </cell>
        </row>
        <row r="11">
          <cell r="A11">
            <v>5</v>
          </cell>
          <cell r="B11" t="str">
            <v>94I</v>
          </cell>
          <cell r="C11">
            <v>23936</v>
          </cell>
          <cell r="D11">
            <v>0</v>
          </cell>
          <cell r="E11">
            <v>0</v>
          </cell>
          <cell r="F11">
            <v>210</v>
          </cell>
          <cell r="G11">
            <v>0</v>
          </cell>
          <cell r="I11">
            <v>24146</v>
          </cell>
          <cell r="J11">
            <v>334035</v>
          </cell>
          <cell r="L11">
            <v>170032</v>
          </cell>
          <cell r="N11">
            <v>39058</v>
          </cell>
          <cell r="P11">
            <v>565</v>
          </cell>
          <cell r="R11">
            <v>0</v>
          </cell>
          <cell r="S11">
            <v>0</v>
          </cell>
          <cell r="U11">
            <v>24146</v>
          </cell>
        </row>
        <row r="12">
          <cell r="A12">
            <v>6</v>
          </cell>
          <cell r="B12" t="str">
            <v>94C</v>
          </cell>
          <cell r="C12">
            <v>9031</v>
          </cell>
          <cell r="D12">
            <v>0</v>
          </cell>
          <cell r="E12">
            <v>0</v>
          </cell>
          <cell r="F12">
            <v>0</v>
          </cell>
          <cell r="G12">
            <v>0</v>
          </cell>
          <cell r="I12">
            <v>9031</v>
          </cell>
          <cell r="J12">
            <v>260584</v>
          </cell>
          <cell r="L12">
            <v>170032</v>
          </cell>
          <cell r="N12">
            <v>39057</v>
          </cell>
          <cell r="P12">
            <v>464</v>
          </cell>
          <cell r="R12">
            <v>0</v>
          </cell>
          <cell r="S12">
            <v>0</v>
          </cell>
          <cell r="U12">
            <v>9031</v>
          </cell>
        </row>
        <row r="13">
          <cell r="A13">
            <v>7</v>
          </cell>
          <cell r="B13" t="str">
            <v>94C</v>
          </cell>
          <cell r="C13">
            <v>2674</v>
          </cell>
          <cell r="D13">
            <v>0</v>
          </cell>
          <cell r="E13">
            <v>0</v>
          </cell>
          <cell r="F13">
            <v>0</v>
          </cell>
          <cell r="G13">
            <v>0</v>
          </cell>
          <cell r="I13">
            <v>2674</v>
          </cell>
          <cell r="J13">
            <v>260585</v>
          </cell>
          <cell r="L13">
            <v>170032</v>
          </cell>
          <cell r="N13">
            <v>39057</v>
          </cell>
          <cell r="P13">
            <v>447</v>
          </cell>
          <cell r="R13">
            <v>0</v>
          </cell>
          <cell r="S13">
            <v>0</v>
          </cell>
          <cell r="U13">
            <v>2674</v>
          </cell>
        </row>
        <row r="14">
          <cell r="A14">
            <v>8</v>
          </cell>
          <cell r="B14" t="str">
            <v>94I</v>
          </cell>
          <cell r="C14">
            <v>8976</v>
          </cell>
          <cell r="D14">
            <v>0</v>
          </cell>
          <cell r="E14">
            <v>0</v>
          </cell>
          <cell r="F14">
            <v>0</v>
          </cell>
          <cell r="G14">
            <v>0</v>
          </cell>
          <cell r="I14">
            <v>8976</v>
          </cell>
          <cell r="J14">
            <v>260643</v>
          </cell>
          <cell r="L14">
            <v>170032</v>
          </cell>
          <cell r="N14">
            <v>39064</v>
          </cell>
          <cell r="P14">
            <v>513</v>
          </cell>
          <cell r="R14">
            <v>0</v>
          </cell>
          <cell r="S14">
            <v>0</v>
          </cell>
          <cell r="U14">
            <v>8976</v>
          </cell>
        </row>
        <row r="15">
          <cell r="A15">
            <v>9</v>
          </cell>
          <cell r="B15" t="str">
            <v>94C</v>
          </cell>
          <cell r="C15">
            <v>6376</v>
          </cell>
          <cell r="D15">
            <v>0</v>
          </cell>
          <cell r="E15">
            <v>0</v>
          </cell>
          <cell r="F15">
            <v>0</v>
          </cell>
          <cell r="G15">
            <v>0</v>
          </cell>
          <cell r="I15">
            <v>6376</v>
          </cell>
          <cell r="J15">
            <v>265593</v>
          </cell>
          <cell r="L15">
            <v>170032</v>
          </cell>
          <cell r="N15">
            <v>39088</v>
          </cell>
          <cell r="P15">
            <v>399</v>
          </cell>
          <cell r="R15">
            <v>0</v>
          </cell>
          <cell r="S15">
            <v>0</v>
          </cell>
          <cell r="T15">
            <v>234</v>
          </cell>
          <cell r="U15">
            <v>6376</v>
          </cell>
        </row>
        <row r="16">
          <cell r="A16">
            <v>10</v>
          </cell>
          <cell r="B16" t="str">
            <v>94C</v>
          </cell>
          <cell r="C16">
            <v>85</v>
          </cell>
          <cell r="D16">
            <v>0</v>
          </cell>
          <cell r="E16">
            <v>0</v>
          </cell>
          <cell r="F16">
            <v>0</v>
          </cell>
          <cell r="G16">
            <v>0</v>
          </cell>
          <cell r="I16">
            <v>85</v>
          </cell>
          <cell r="J16">
            <v>265595</v>
          </cell>
          <cell r="L16">
            <v>170032</v>
          </cell>
          <cell r="N16">
            <v>39088</v>
          </cell>
          <cell r="P16">
            <v>398</v>
          </cell>
          <cell r="R16">
            <v>0</v>
          </cell>
          <cell r="S16">
            <v>0</v>
          </cell>
          <cell r="U16">
            <v>85</v>
          </cell>
        </row>
        <row r="17">
          <cell r="A17">
            <v>11</v>
          </cell>
          <cell r="B17" t="str">
            <v>94C</v>
          </cell>
          <cell r="C17">
            <v>8127</v>
          </cell>
          <cell r="D17">
            <v>0</v>
          </cell>
          <cell r="E17">
            <v>0</v>
          </cell>
          <cell r="F17">
            <v>0</v>
          </cell>
          <cell r="G17">
            <v>0</v>
          </cell>
          <cell r="I17">
            <v>8127</v>
          </cell>
          <cell r="J17">
            <v>265594</v>
          </cell>
          <cell r="L17">
            <v>170032</v>
          </cell>
          <cell r="N17">
            <v>39088</v>
          </cell>
          <cell r="P17">
            <v>400</v>
          </cell>
          <cell r="R17">
            <v>0</v>
          </cell>
          <cell r="S17">
            <v>0</v>
          </cell>
          <cell r="U17">
            <v>8127</v>
          </cell>
        </row>
        <row r="18">
          <cell r="A18">
            <v>12</v>
          </cell>
          <cell r="B18" t="str">
            <v>94C</v>
          </cell>
          <cell r="C18">
            <v>2490</v>
          </cell>
          <cell r="D18">
            <v>0</v>
          </cell>
          <cell r="E18">
            <v>0</v>
          </cell>
          <cell r="F18">
            <v>0</v>
          </cell>
          <cell r="G18">
            <v>0</v>
          </cell>
          <cell r="I18">
            <v>2490</v>
          </cell>
          <cell r="J18">
            <v>365604</v>
          </cell>
          <cell r="L18">
            <v>170032</v>
          </cell>
          <cell r="N18">
            <v>39090</v>
          </cell>
          <cell r="P18">
            <v>560</v>
          </cell>
          <cell r="R18">
            <v>0</v>
          </cell>
          <cell r="S18">
            <v>0</v>
          </cell>
          <cell r="U18">
            <v>2490</v>
          </cell>
        </row>
        <row r="19">
          <cell r="A19">
            <v>13</v>
          </cell>
          <cell r="B19" t="str">
            <v>94C</v>
          </cell>
          <cell r="C19">
            <v>157</v>
          </cell>
          <cell r="D19">
            <v>0</v>
          </cell>
          <cell r="E19">
            <v>0</v>
          </cell>
          <cell r="F19">
            <v>0</v>
          </cell>
          <cell r="G19">
            <v>0</v>
          </cell>
          <cell r="I19">
            <v>157</v>
          </cell>
          <cell r="J19">
            <v>365605</v>
          </cell>
          <cell r="L19">
            <v>170032</v>
          </cell>
          <cell r="N19">
            <v>39090</v>
          </cell>
          <cell r="P19">
            <v>519</v>
          </cell>
          <cell r="R19">
            <v>0</v>
          </cell>
          <cell r="S19">
            <v>0</v>
          </cell>
          <cell r="U19">
            <v>157</v>
          </cell>
        </row>
        <row r="20">
          <cell r="I20">
            <v>0</v>
          </cell>
          <cell r="U20">
            <v>0</v>
          </cell>
        </row>
        <row r="21">
          <cell r="I21">
            <v>0</v>
          </cell>
          <cell r="U21">
            <v>0</v>
          </cell>
        </row>
        <row r="22">
          <cell r="I22">
            <v>0</v>
          </cell>
          <cell r="U22">
            <v>0</v>
          </cell>
        </row>
        <row r="23">
          <cell r="A23" t="str">
            <v>Total</v>
          </cell>
          <cell r="C23">
            <v>79418</v>
          </cell>
          <cell r="D23">
            <v>0</v>
          </cell>
          <cell r="E23">
            <v>0</v>
          </cell>
          <cell r="F23">
            <v>210</v>
          </cell>
          <cell r="G23">
            <v>0</v>
          </cell>
          <cell r="H23">
            <v>0</v>
          </cell>
          <cell r="I23">
            <v>79628</v>
          </cell>
          <cell r="R23">
            <v>0</v>
          </cell>
          <cell r="S23">
            <v>0</v>
          </cell>
          <cell r="T23" t="e">
            <v>#REF!</v>
          </cell>
          <cell r="U23">
            <v>79628</v>
          </cell>
        </row>
        <row r="819">
          <cell r="IV819">
            <v>193</v>
          </cell>
        </row>
        <row r="820">
          <cell r="IV820" t="str">
            <v>94A</v>
          </cell>
        </row>
        <row r="821">
          <cell r="IV821" t="str">
            <v>94B</v>
          </cell>
        </row>
        <row r="822">
          <cell r="IV822" t="str">
            <v>4BB</v>
          </cell>
        </row>
        <row r="823">
          <cell r="IV823" t="str">
            <v>94C</v>
          </cell>
        </row>
        <row r="824">
          <cell r="IV824" t="str">
            <v>94D</v>
          </cell>
        </row>
        <row r="825">
          <cell r="IV825" t="str">
            <v>4EE</v>
          </cell>
        </row>
        <row r="826">
          <cell r="IV826" t="str">
            <v>94F</v>
          </cell>
        </row>
        <row r="827">
          <cell r="IV827" t="str">
            <v>94G</v>
          </cell>
        </row>
        <row r="828">
          <cell r="IV828" t="str">
            <v>94H</v>
          </cell>
        </row>
        <row r="829">
          <cell r="IV829" t="str">
            <v>94I</v>
          </cell>
        </row>
        <row r="830">
          <cell r="IV830" t="str">
            <v>94J</v>
          </cell>
        </row>
        <row r="831">
          <cell r="IV831" t="str">
            <v>94K</v>
          </cell>
        </row>
        <row r="832">
          <cell r="IV832" t="str">
            <v>94L</v>
          </cell>
        </row>
      </sheetData>
      <sheetData sheetId="3">
        <row r="11">
          <cell r="A11">
            <v>1</v>
          </cell>
          <cell r="R11">
            <v>306</v>
          </cell>
          <cell r="W11">
            <v>306</v>
          </cell>
        </row>
        <row r="12">
          <cell r="A12">
            <v>3</v>
          </cell>
          <cell r="R12">
            <v>25</v>
          </cell>
          <cell r="W12">
            <v>25</v>
          </cell>
        </row>
        <row r="13">
          <cell r="A13">
            <v>1</v>
          </cell>
          <cell r="R13">
            <v>445</v>
          </cell>
          <cell r="W13">
            <v>445</v>
          </cell>
        </row>
        <row r="14">
          <cell r="A14">
            <v>1</v>
          </cell>
          <cell r="R14">
            <v>600</v>
          </cell>
          <cell r="W14">
            <v>600</v>
          </cell>
        </row>
        <row r="15">
          <cell r="A15">
            <v>1</v>
          </cell>
          <cell r="R15">
            <v>306</v>
          </cell>
          <cell r="W15">
            <v>306</v>
          </cell>
        </row>
        <row r="16">
          <cell r="A16">
            <v>1</v>
          </cell>
          <cell r="R16">
            <v>45</v>
          </cell>
          <cell r="W16">
            <v>45</v>
          </cell>
        </row>
        <row r="17">
          <cell r="A17">
            <v>1</v>
          </cell>
          <cell r="R17">
            <v>59</v>
          </cell>
          <cell r="W17">
            <v>59</v>
          </cell>
        </row>
        <row r="18">
          <cell r="A18">
            <v>1</v>
          </cell>
          <cell r="R18">
            <v>63</v>
          </cell>
          <cell r="W18">
            <v>63</v>
          </cell>
        </row>
        <row r="19">
          <cell r="A19">
            <v>1</v>
          </cell>
          <cell r="R19">
            <v>108</v>
          </cell>
          <cell r="W19">
            <v>108</v>
          </cell>
        </row>
        <row r="20">
          <cell r="A20">
            <v>1</v>
          </cell>
          <cell r="R20">
            <v>122</v>
          </cell>
          <cell r="W20">
            <v>122</v>
          </cell>
        </row>
        <row r="21">
          <cell r="A21">
            <v>1</v>
          </cell>
          <cell r="R21">
            <v>263</v>
          </cell>
          <cell r="W21">
            <v>263</v>
          </cell>
        </row>
        <row r="22">
          <cell r="A22">
            <v>1</v>
          </cell>
          <cell r="R22">
            <v>282</v>
          </cell>
          <cell r="W22">
            <v>282</v>
          </cell>
        </row>
        <row r="23">
          <cell r="A23">
            <v>1</v>
          </cell>
          <cell r="R23">
            <v>306</v>
          </cell>
          <cell r="W23">
            <v>306</v>
          </cell>
        </row>
        <row r="24">
          <cell r="A24">
            <v>3</v>
          </cell>
          <cell r="R24">
            <v>628</v>
          </cell>
          <cell r="W24">
            <v>628</v>
          </cell>
        </row>
        <row r="25">
          <cell r="A25">
            <v>1</v>
          </cell>
          <cell r="R25">
            <v>51</v>
          </cell>
          <cell r="W25">
            <v>51</v>
          </cell>
        </row>
        <row r="26">
          <cell r="A26">
            <v>1</v>
          </cell>
          <cell r="R26">
            <v>85</v>
          </cell>
          <cell r="W26">
            <v>85</v>
          </cell>
        </row>
        <row r="27">
          <cell r="A27">
            <v>1</v>
          </cell>
          <cell r="R27">
            <v>102</v>
          </cell>
          <cell r="W27">
            <v>102</v>
          </cell>
        </row>
        <row r="28">
          <cell r="A28">
            <v>1</v>
          </cell>
          <cell r="R28">
            <v>33</v>
          </cell>
          <cell r="W28">
            <v>33</v>
          </cell>
        </row>
        <row r="29">
          <cell r="A29">
            <v>1</v>
          </cell>
          <cell r="R29">
            <v>426</v>
          </cell>
          <cell r="W29">
            <v>426</v>
          </cell>
        </row>
        <row r="30">
          <cell r="A30">
            <v>1</v>
          </cell>
          <cell r="R30">
            <v>551</v>
          </cell>
          <cell r="W30">
            <v>551</v>
          </cell>
        </row>
        <row r="31">
          <cell r="A31">
            <v>1</v>
          </cell>
          <cell r="R31">
            <v>520</v>
          </cell>
          <cell r="W31">
            <v>520</v>
          </cell>
        </row>
        <row r="32">
          <cell r="A32">
            <v>2</v>
          </cell>
          <cell r="R32">
            <v>8160</v>
          </cell>
          <cell r="W32">
            <v>8160</v>
          </cell>
        </row>
        <row r="33">
          <cell r="A33">
            <v>7</v>
          </cell>
          <cell r="R33">
            <v>291</v>
          </cell>
          <cell r="W33">
            <v>291</v>
          </cell>
        </row>
        <row r="34">
          <cell r="A34">
            <v>7</v>
          </cell>
          <cell r="R34">
            <v>329</v>
          </cell>
          <cell r="W34">
            <v>329</v>
          </cell>
        </row>
        <row r="35">
          <cell r="A35">
            <v>7</v>
          </cell>
          <cell r="R35">
            <v>169</v>
          </cell>
          <cell r="W35">
            <v>169</v>
          </cell>
        </row>
        <row r="36">
          <cell r="A36">
            <v>6</v>
          </cell>
          <cell r="R36">
            <v>235</v>
          </cell>
          <cell r="W36">
            <v>235</v>
          </cell>
        </row>
        <row r="37">
          <cell r="A37">
            <v>7</v>
          </cell>
          <cell r="R37">
            <v>369</v>
          </cell>
          <cell r="W37">
            <v>369</v>
          </cell>
        </row>
        <row r="38">
          <cell r="A38">
            <v>7</v>
          </cell>
          <cell r="R38">
            <v>86</v>
          </cell>
          <cell r="W38">
            <v>86</v>
          </cell>
        </row>
        <row r="39">
          <cell r="A39">
            <v>6</v>
          </cell>
          <cell r="R39">
            <v>365</v>
          </cell>
          <cell r="W39">
            <v>365</v>
          </cell>
        </row>
        <row r="40">
          <cell r="A40">
            <v>6</v>
          </cell>
          <cell r="R40">
            <v>8414</v>
          </cell>
          <cell r="W40">
            <v>8414</v>
          </cell>
        </row>
        <row r="41">
          <cell r="A41">
            <v>7</v>
          </cell>
          <cell r="R41">
            <v>192</v>
          </cell>
          <cell r="W41">
            <v>192</v>
          </cell>
        </row>
        <row r="42">
          <cell r="A42">
            <v>7</v>
          </cell>
          <cell r="R42">
            <v>205</v>
          </cell>
          <cell r="W42">
            <v>205</v>
          </cell>
        </row>
        <row r="43">
          <cell r="A43">
            <v>6</v>
          </cell>
          <cell r="R43">
            <v>17</v>
          </cell>
          <cell r="W43">
            <v>17</v>
          </cell>
        </row>
        <row r="44">
          <cell r="A44">
            <v>7</v>
          </cell>
          <cell r="R44">
            <v>445</v>
          </cell>
          <cell r="W44">
            <v>445</v>
          </cell>
        </row>
        <row r="45">
          <cell r="A45">
            <v>4</v>
          </cell>
          <cell r="R45">
            <v>4080</v>
          </cell>
          <cell r="W45">
            <v>4080</v>
          </cell>
        </row>
        <row r="46">
          <cell r="A46">
            <v>7</v>
          </cell>
          <cell r="R46">
            <v>148</v>
          </cell>
          <cell r="W46">
            <v>148</v>
          </cell>
        </row>
        <row r="47">
          <cell r="A47">
            <v>7</v>
          </cell>
          <cell r="R47">
            <v>440</v>
          </cell>
          <cell r="W47">
            <v>440</v>
          </cell>
        </row>
        <row r="48">
          <cell r="A48">
            <v>5</v>
          </cell>
          <cell r="R48">
            <v>6194</v>
          </cell>
          <cell r="W48">
            <v>6194</v>
          </cell>
        </row>
        <row r="49">
          <cell r="A49">
            <v>5</v>
          </cell>
          <cell r="R49">
            <v>8976</v>
          </cell>
          <cell r="W49">
            <v>8976</v>
          </cell>
        </row>
        <row r="50">
          <cell r="A50">
            <v>5</v>
          </cell>
          <cell r="R50">
            <v>8976</v>
          </cell>
          <cell r="W50">
            <v>8976</v>
          </cell>
        </row>
        <row r="51">
          <cell r="A51">
            <v>9</v>
          </cell>
          <cell r="R51">
            <v>507</v>
          </cell>
          <cell r="W51">
            <v>507</v>
          </cell>
        </row>
        <row r="52">
          <cell r="A52">
            <v>11</v>
          </cell>
          <cell r="R52">
            <v>102</v>
          </cell>
          <cell r="W52">
            <v>102</v>
          </cell>
        </row>
        <row r="53">
          <cell r="A53">
            <v>11</v>
          </cell>
          <cell r="R53">
            <v>34</v>
          </cell>
          <cell r="W53">
            <v>34</v>
          </cell>
        </row>
        <row r="54">
          <cell r="A54">
            <v>11</v>
          </cell>
          <cell r="R54">
            <v>198</v>
          </cell>
          <cell r="W54">
            <v>198</v>
          </cell>
        </row>
        <row r="55">
          <cell r="A55">
            <v>11</v>
          </cell>
          <cell r="R55">
            <v>354</v>
          </cell>
          <cell r="W55">
            <v>354</v>
          </cell>
        </row>
        <row r="56">
          <cell r="A56">
            <v>11</v>
          </cell>
          <cell r="R56">
            <v>649</v>
          </cell>
          <cell r="W56">
            <v>649</v>
          </cell>
        </row>
        <row r="57">
          <cell r="A57">
            <v>11</v>
          </cell>
          <cell r="R57">
            <v>1045</v>
          </cell>
          <cell r="W57">
            <v>1045</v>
          </cell>
        </row>
        <row r="58">
          <cell r="A58">
            <v>9</v>
          </cell>
          <cell r="R58">
            <v>2191</v>
          </cell>
          <cell r="W58">
            <v>2191</v>
          </cell>
        </row>
        <row r="59">
          <cell r="A59">
            <v>8</v>
          </cell>
          <cell r="R59">
            <v>8976</v>
          </cell>
          <cell r="W59">
            <v>8976</v>
          </cell>
        </row>
        <row r="60">
          <cell r="A60">
            <v>11</v>
          </cell>
          <cell r="R60">
            <v>386</v>
          </cell>
          <cell r="W60">
            <v>386</v>
          </cell>
        </row>
        <row r="61">
          <cell r="A61">
            <v>11</v>
          </cell>
          <cell r="R61">
            <v>177</v>
          </cell>
          <cell r="W61">
            <v>177</v>
          </cell>
        </row>
        <row r="62">
          <cell r="A62">
            <v>11</v>
          </cell>
          <cell r="R62">
            <v>222</v>
          </cell>
          <cell r="W62">
            <v>222</v>
          </cell>
        </row>
        <row r="63">
          <cell r="A63">
            <v>11</v>
          </cell>
          <cell r="R63">
            <v>612</v>
          </cell>
          <cell r="W63">
            <v>612</v>
          </cell>
        </row>
        <row r="64">
          <cell r="A64">
            <v>11</v>
          </cell>
          <cell r="R64">
            <v>37</v>
          </cell>
          <cell r="W64">
            <v>37</v>
          </cell>
        </row>
        <row r="65">
          <cell r="A65">
            <v>9</v>
          </cell>
          <cell r="R65">
            <v>180</v>
          </cell>
          <cell r="W65">
            <v>180</v>
          </cell>
        </row>
        <row r="66">
          <cell r="A66">
            <v>11</v>
          </cell>
          <cell r="R66">
            <v>368</v>
          </cell>
          <cell r="W66">
            <v>368</v>
          </cell>
        </row>
        <row r="67">
          <cell r="A67">
            <v>9</v>
          </cell>
          <cell r="R67">
            <v>607</v>
          </cell>
          <cell r="W67">
            <v>607</v>
          </cell>
        </row>
        <row r="68">
          <cell r="A68">
            <v>9</v>
          </cell>
          <cell r="R68">
            <v>1904</v>
          </cell>
          <cell r="W68">
            <v>1904</v>
          </cell>
        </row>
        <row r="69">
          <cell r="A69">
            <v>11</v>
          </cell>
          <cell r="R69">
            <v>770</v>
          </cell>
          <cell r="W69">
            <v>770</v>
          </cell>
        </row>
        <row r="70">
          <cell r="A70">
            <v>11</v>
          </cell>
          <cell r="R70">
            <v>63</v>
          </cell>
          <cell r="W70">
            <v>63</v>
          </cell>
        </row>
        <row r="71">
          <cell r="A71">
            <v>11</v>
          </cell>
          <cell r="R71">
            <v>63</v>
          </cell>
          <cell r="W71">
            <v>63</v>
          </cell>
        </row>
        <row r="72">
          <cell r="A72">
            <v>11</v>
          </cell>
          <cell r="R72">
            <v>108</v>
          </cell>
          <cell r="W72">
            <v>108</v>
          </cell>
        </row>
        <row r="73">
          <cell r="A73">
            <v>11</v>
          </cell>
          <cell r="R73">
            <v>147</v>
          </cell>
          <cell r="W73">
            <v>147</v>
          </cell>
        </row>
        <row r="74">
          <cell r="A74">
            <v>9</v>
          </cell>
          <cell r="R74">
            <v>987</v>
          </cell>
          <cell r="W74">
            <v>987</v>
          </cell>
        </row>
        <row r="75">
          <cell r="A75">
            <v>11</v>
          </cell>
          <cell r="R75">
            <v>429</v>
          </cell>
          <cell r="W75">
            <v>429</v>
          </cell>
        </row>
        <row r="76">
          <cell r="A76">
            <v>11</v>
          </cell>
          <cell r="R76">
            <v>485</v>
          </cell>
          <cell r="W76">
            <v>485</v>
          </cell>
        </row>
        <row r="77">
          <cell r="A77">
            <v>11</v>
          </cell>
          <cell r="R77">
            <v>11</v>
          </cell>
          <cell r="W77">
            <v>11</v>
          </cell>
        </row>
        <row r="78">
          <cell r="A78">
            <v>11</v>
          </cell>
          <cell r="R78">
            <v>29</v>
          </cell>
          <cell r="W78">
            <v>29</v>
          </cell>
        </row>
        <row r="79">
          <cell r="A79">
            <v>11</v>
          </cell>
          <cell r="R79">
            <v>61</v>
          </cell>
          <cell r="W79">
            <v>61</v>
          </cell>
        </row>
        <row r="80">
          <cell r="A80">
            <v>11</v>
          </cell>
          <cell r="R80">
            <v>123</v>
          </cell>
          <cell r="W80">
            <v>123</v>
          </cell>
        </row>
        <row r="81">
          <cell r="A81">
            <v>11</v>
          </cell>
          <cell r="R81">
            <v>164</v>
          </cell>
          <cell r="W81">
            <v>164</v>
          </cell>
        </row>
        <row r="82">
          <cell r="A82">
            <v>11</v>
          </cell>
          <cell r="R82">
            <v>169</v>
          </cell>
          <cell r="W82">
            <v>169</v>
          </cell>
        </row>
        <row r="83">
          <cell r="A83">
            <v>11</v>
          </cell>
          <cell r="R83">
            <v>55</v>
          </cell>
          <cell r="W83">
            <v>55</v>
          </cell>
        </row>
        <row r="84">
          <cell r="A84">
            <v>11</v>
          </cell>
          <cell r="R84">
            <v>181</v>
          </cell>
          <cell r="W84">
            <v>181</v>
          </cell>
        </row>
        <row r="85">
          <cell r="A85">
            <v>11</v>
          </cell>
          <cell r="R85">
            <v>100</v>
          </cell>
          <cell r="W85">
            <v>100</v>
          </cell>
        </row>
        <row r="86">
          <cell r="A86">
            <v>11</v>
          </cell>
          <cell r="R86">
            <v>165</v>
          </cell>
          <cell r="W86">
            <v>165</v>
          </cell>
        </row>
        <row r="87">
          <cell r="A87">
            <v>11</v>
          </cell>
          <cell r="R87">
            <v>119</v>
          </cell>
          <cell r="W87">
            <v>119</v>
          </cell>
        </row>
        <row r="88">
          <cell r="A88">
            <v>12</v>
          </cell>
          <cell r="R88">
            <v>256</v>
          </cell>
          <cell r="W88">
            <v>256</v>
          </cell>
        </row>
        <row r="89">
          <cell r="A89">
            <v>12</v>
          </cell>
          <cell r="R89">
            <v>365</v>
          </cell>
          <cell r="W89">
            <v>365</v>
          </cell>
        </row>
        <row r="90">
          <cell r="A90">
            <v>11</v>
          </cell>
          <cell r="R90">
            <v>166</v>
          </cell>
          <cell r="W90">
            <v>166</v>
          </cell>
        </row>
        <row r="91">
          <cell r="A91">
            <v>12</v>
          </cell>
          <cell r="R91">
            <v>242</v>
          </cell>
          <cell r="W91">
            <v>242</v>
          </cell>
        </row>
        <row r="92">
          <cell r="A92">
            <v>10</v>
          </cell>
          <cell r="R92">
            <v>85</v>
          </cell>
          <cell r="W92">
            <v>85</v>
          </cell>
        </row>
        <row r="93">
          <cell r="A93">
            <v>11</v>
          </cell>
          <cell r="R93">
            <v>474</v>
          </cell>
          <cell r="W93">
            <v>474</v>
          </cell>
        </row>
        <row r="94">
          <cell r="A94">
            <v>12</v>
          </cell>
          <cell r="R94">
            <v>37</v>
          </cell>
          <cell r="W94">
            <v>37</v>
          </cell>
        </row>
        <row r="95">
          <cell r="A95">
            <v>12</v>
          </cell>
          <cell r="R95">
            <v>1507</v>
          </cell>
          <cell r="W95">
            <v>1507</v>
          </cell>
        </row>
        <row r="96">
          <cell r="A96">
            <v>13</v>
          </cell>
          <cell r="R96">
            <v>157</v>
          </cell>
          <cell r="W96">
            <v>157</v>
          </cell>
        </row>
        <row r="97">
          <cell r="A97">
            <v>11</v>
          </cell>
          <cell r="R97">
            <v>61</v>
          </cell>
          <cell r="W97">
            <v>61</v>
          </cell>
        </row>
        <row r="98">
          <cell r="A98">
            <v>12</v>
          </cell>
          <cell r="R98">
            <v>83</v>
          </cell>
          <cell r="W98">
            <v>83</v>
          </cell>
        </row>
        <row r="105">
          <cell r="A105" t="str">
            <v>Total</v>
          </cell>
          <cell r="R105">
            <v>79628</v>
          </cell>
          <cell r="W105">
            <v>79628</v>
          </cell>
        </row>
      </sheetData>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row r="18">
          <cell r="V18" t="str">
            <v>Others</v>
          </cell>
        </row>
      </sheetData>
      <sheetData sheetId="2">
        <row r="7">
          <cell r="A7">
            <v>1</v>
          </cell>
          <cell r="B7" t="str">
            <v>94C</v>
          </cell>
          <cell r="C7">
            <v>4673</v>
          </cell>
          <cell r="D7">
            <v>0</v>
          </cell>
          <cell r="E7">
            <v>0</v>
          </cell>
          <cell r="F7">
            <v>0</v>
          </cell>
          <cell r="G7">
            <v>0</v>
          </cell>
          <cell r="I7">
            <v>4673</v>
          </cell>
          <cell r="J7">
            <v>333894</v>
          </cell>
          <cell r="L7">
            <v>170032</v>
          </cell>
          <cell r="N7">
            <v>39028</v>
          </cell>
          <cell r="P7">
            <v>303</v>
          </cell>
          <cell r="R7">
            <v>0</v>
          </cell>
          <cell r="S7">
            <v>0</v>
          </cell>
          <cell r="U7">
            <v>4673</v>
          </cell>
        </row>
        <row r="8">
          <cell r="A8">
            <v>2</v>
          </cell>
          <cell r="B8" t="str">
            <v>94J</v>
          </cell>
          <cell r="C8">
            <v>8160</v>
          </cell>
          <cell r="D8">
            <v>0</v>
          </cell>
          <cell r="E8">
            <v>0</v>
          </cell>
          <cell r="F8">
            <v>0</v>
          </cell>
          <cell r="G8">
            <v>0</v>
          </cell>
          <cell r="I8">
            <v>8160</v>
          </cell>
          <cell r="J8">
            <v>333897</v>
          </cell>
          <cell r="L8">
            <v>170032</v>
          </cell>
          <cell r="N8">
            <v>39028</v>
          </cell>
          <cell r="P8">
            <v>304</v>
          </cell>
          <cell r="R8">
            <v>0</v>
          </cell>
          <cell r="S8">
            <v>0</v>
          </cell>
          <cell r="U8">
            <v>8160</v>
          </cell>
        </row>
        <row r="9">
          <cell r="A9">
            <v>3</v>
          </cell>
          <cell r="B9" t="str">
            <v>94C</v>
          </cell>
          <cell r="C9">
            <v>653</v>
          </cell>
          <cell r="D9">
            <v>0</v>
          </cell>
          <cell r="E9">
            <v>0</v>
          </cell>
          <cell r="F9">
            <v>0</v>
          </cell>
          <cell r="G9">
            <v>0</v>
          </cell>
          <cell r="I9">
            <v>653</v>
          </cell>
          <cell r="J9">
            <v>333895</v>
          </cell>
          <cell r="L9">
            <v>170032</v>
          </cell>
          <cell r="N9">
            <v>39028</v>
          </cell>
          <cell r="P9">
            <v>308</v>
          </cell>
          <cell r="R9">
            <v>0</v>
          </cell>
          <cell r="S9">
            <v>0</v>
          </cell>
          <cell r="U9">
            <v>653</v>
          </cell>
        </row>
        <row r="10">
          <cell r="A10">
            <v>4</v>
          </cell>
          <cell r="B10" t="str">
            <v>94J</v>
          </cell>
          <cell r="C10">
            <v>4080</v>
          </cell>
          <cell r="D10">
            <v>0</v>
          </cell>
          <cell r="E10">
            <v>0</v>
          </cell>
          <cell r="F10">
            <v>0</v>
          </cell>
          <cell r="G10">
            <v>0</v>
          </cell>
          <cell r="I10">
            <v>4080</v>
          </cell>
          <cell r="J10">
            <v>334034</v>
          </cell>
          <cell r="L10">
            <v>170032</v>
          </cell>
          <cell r="N10">
            <v>39058</v>
          </cell>
          <cell r="P10">
            <v>547</v>
          </cell>
          <cell r="R10">
            <v>0</v>
          </cell>
          <cell r="S10">
            <v>0</v>
          </cell>
          <cell r="U10">
            <v>4080</v>
          </cell>
        </row>
        <row r="11">
          <cell r="A11">
            <v>5</v>
          </cell>
          <cell r="B11" t="str">
            <v>94I</v>
          </cell>
          <cell r="C11">
            <v>23936</v>
          </cell>
          <cell r="D11">
            <v>0</v>
          </cell>
          <cell r="E11">
            <v>0</v>
          </cell>
          <cell r="F11">
            <v>210</v>
          </cell>
          <cell r="G11">
            <v>0</v>
          </cell>
          <cell r="I11">
            <v>24146</v>
          </cell>
          <cell r="J11">
            <v>334035</v>
          </cell>
          <cell r="L11">
            <v>170032</v>
          </cell>
          <cell r="N11">
            <v>39058</v>
          </cell>
          <cell r="P11">
            <v>565</v>
          </cell>
          <cell r="R11">
            <v>0</v>
          </cell>
          <cell r="S11">
            <v>0</v>
          </cell>
          <cell r="U11">
            <v>24146</v>
          </cell>
        </row>
        <row r="12">
          <cell r="A12">
            <v>6</v>
          </cell>
          <cell r="B12" t="str">
            <v>94C</v>
          </cell>
          <cell r="C12">
            <v>9031</v>
          </cell>
          <cell r="D12">
            <v>0</v>
          </cell>
          <cell r="E12">
            <v>0</v>
          </cell>
          <cell r="F12">
            <v>0</v>
          </cell>
          <cell r="G12">
            <v>0</v>
          </cell>
          <cell r="I12">
            <v>9031</v>
          </cell>
          <cell r="J12">
            <v>260584</v>
          </cell>
          <cell r="L12">
            <v>170032</v>
          </cell>
          <cell r="N12">
            <v>39057</v>
          </cell>
          <cell r="P12">
            <v>464</v>
          </cell>
          <cell r="R12">
            <v>0</v>
          </cell>
          <cell r="S12">
            <v>0</v>
          </cell>
          <cell r="U12">
            <v>9031</v>
          </cell>
        </row>
        <row r="13">
          <cell r="A13">
            <v>7</v>
          </cell>
          <cell r="B13" t="str">
            <v>94C</v>
          </cell>
          <cell r="C13">
            <v>2674</v>
          </cell>
          <cell r="D13">
            <v>0</v>
          </cell>
          <cell r="E13">
            <v>0</v>
          </cell>
          <cell r="F13">
            <v>0</v>
          </cell>
          <cell r="G13">
            <v>0</v>
          </cell>
          <cell r="I13">
            <v>2674</v>
          </cell>
          <cell r="J13">
            <v>260585</v>
          </cell>
          <cell r="L13">
            <v>170032</v>
          </cell>
          <cell r="N13">
            <v>39057</v>
          </cell>
          <cell r="P13">
            <v>447</v>
          </cell>
          <cell r="R13">
            <v>0</v>
          </cell>
          <cell r="S13">
            <v>0</v>
          </cell>
          <cell r="U13">
            <v>2674</v>
          </cell>
        </row>
        <row r="14">
          <cell r="A14">
            <v>8</v>
          </cell>
          <cell r="B14" t="str">
            <v>94I</v>
          </cell>
          <cell r="C14">
            <v>8976</v>
          </cell>
          <cell r="D14">
            <v>0</v>
          </cell>
          <cell r="E14">
            <v>0</v>
          </cell>
          <cell r="F14">
            <v>0</v>
          </cell>
          <cell r="G14">
            <v>0</v>
          </cell>
          <cell r="I14">
            <v>8976</v>
          </cell>
          <cell r="J14">
            <v>260643</v>
          </cell>
          <cell r="L14">
            <v>170032</v>
          </cell>
          <cell r="N14">
            <v>39064</v>
          </cell>
          <cell r="P14">
            <v>513</v>
          </cell>
          <cell r="R14">
            <v>0</v>
          </cell>
          <cell r="S14">
            <v>0</v>
          </cell>
          <cell r="U14">
            <v>8976</v>
          </cell>
        </row>
        <row r="15">
          <cell r="A15">
            <v>9</v>
          </cell>
          <cell r="B15" t="str">
            <v>94C</v>
          </cell>
          <cell r="C15">
            <v>6376</v>
          </cell>
          <cell r="D15">
            <v>0</v>
          </cell>
          <cell r="E15">
            <v>0</v>
          </cell>
          <cell r="F15">
            <v>0</v>
          </cell>
          <cell r="G15">
            <v>0</v>
          </cell>
          <cell r="I15">
            <v>6376</v>
          </cell>
          <cell r="J15">
            <v>265593</v>
          </cell>
          <cell r="L15">
            <v>170032</v>
          </cell>
          <cell r="N15">
            <v>39088</v>
          </cell>
          <cell r="P15">
            <v>399</v>
          </cell>
          <cell r="R15">
            <v>0</v>
          </cell>
          <cell r="S15">
            <v>0</v>
          </cell>
          <cell r="T15">
            <v>234</v>
          </cell>
          <cell r="U15">
            <v>6376</v>
          </cell>
        </row>
        <row r="16">
          <cell r="A16">
            <v>10</v>
          </cell>
          <cell r="B16" t="str">
            <v>94C</v>
          </cell>
          <cell r="C16">
            <v>85</v>
          </cell>
          <cell r="D16">
            <v>0</v>
          </cell>
          <cell r="E16">
            <v>0</v>
          </cell>
          <cell r="F16">
            <v>0</v>
          </cell>
          <cell r="G16">
            <v>0</v>
          </cell>
          <cell r="I16">
            <v>85</v>
          </cell>
          <cell r="J16">
            <v>265595</v>
          </cell>
          <cell r="L16">
            <v>170032</v>
          </cell>
          <cell r="N16">
            <v>39088</v>
          </cell>
          <cell r="P16">
            <v>398</v>
          </cell>
          <cell r="R16">
            <v>0</v>
          </cell>
          <cell r="S16">
            <v>0</v>
          </cell>
          <cell r="U16">
            <v>85</v>
          </cell>
        </row>
        <row r="17">
          <cell r="A17">
            <v>11</v>
          </cell>
          <cell r="B17" t="str">
            <v>94C</v>
          </cell>
          <cell r="C17">
            <v>8127</v>
          </cell>
          <cell r="D17">
            <v>0</v>
          </cell>
          <cell r="E17">
            <v>0</v>
          </cell>
          <cell r="F17">
            <v>0</v>
          </cell>
          <cell r="G17">
            <v>0</v>
          </cell>
          <cell r="I17">
            <v>8127</v>
          </cell>
          <cell r="J17">
            <v>265594</v>
          </cell>
          <cell r="L17">
            <v>170032</v>
          </cell>
          <cell r="N17">
            <v>39088</v>
          </cell>
          <cell r="P17">
            <v>400</v>
          </cell>
          <cell r="R17">
            <v>0</v>
          </cell>
          <cell r="S17">
            <v>0</v>
          </cell>
          <cell r="U17">
            <v>8127</v>
          </cell>
        </row>
        <row r="18">
          <cell r="A18">
            <v>12</v>
          </cell>
          <cell r="B18" t="str">
            <v>94C</v>
          </cell>
          <cell r="C18">
            <v>2490</v>
          </cell>
          <cell r="D18">
            <v>0</v>
          </cell>
          <cell r="E18">
            <v>0</v>
          </cell>
          <cell r="F18">
            <v>0</v>
          </cell>
          <cell r="G18">
            <v>0</v>
          </cell>
          <cell r="I18">
            <v>2490</v>
          </cell>
          <cell r="J18">
            <v>365604</v>
          </cell>
          <cell r="L18">
            <v>170032</v>
          </cell>
          <cell r="N18">
            <v>39090</v>
          </cell>
          <cell r="P18">
            <v>560</v>
          </cell>
          <cell r="R18">
            <v>0</v>
          </cell>
          <cell r="S18">
            <v>0</v>
          </cell>
          <cell r="U18">
            <v>2490</v>
          </cell>
        </row>
        <row r="19">
          <cell r="A19">
            <v>13</v>
          </cell>
          <cell r="B19" t="str">
            <v>94C</v>
          </cell>
          <cell r="C19">
            <v>157</v>
          </cell>
          <cell r="D19">
            <v>0</v>
          </cell>
          <cell r="E19">
            <v>0</v>
          </cell>
          <cell r="F19">
            <v>0</v>
          </cell>
          <cell r="G19">
            <v>0</v>
          </cell>
          <cell r="I19">
            <v>157</v>
          </cell>
          <cell r="J19">
            <v>365605</v>
          </cell>
          <cell r="L19">
            <v>170032</v>
          </cell>
          <cell r="N19">
            <v>39090</v>
          </cell>
          <cell r="P19">
            <v>519</v>
          </cell>
          <cell r="R19">
            <v>0</v>
          </cell>
          <cell r="S19">
            <v>0</v>
          </cell>
          <cell r="U19">
            <v>157</v>
          </cell>
        </row>
        <row r="20">
          <cell r="I20">
            <v>0</v>
          </cell>
          <cell r="U20">
            <v>0</v>
          </cell>
        </row>
        <row r="21">
          <cell r="I21">
            <v>0</v>
          </cell>
          <cell r="U21">
            <v>0</v>
          </cell>
        </row>
        <row r="22">
          <cell r="I22">
            <v>0</v>
          </cell>
          <cell r="U22">
            <v>0</v>
          </cell>
        </row>
        <row r="23">
          <cell r="A23" t="str">
            <v>Total</v>
          </cell>
          <cell r="C23">
            <v>79418</v>
          </cell>
          <cell r="D23">
            <v>0</v>
          </cell>
          <cell r="E23">
            <v>0</v>
          </cell>
          <cell r="F23">
            <v>210</v>
          </cell>
          <cell r="G23">
            <v>0</v>
          </cell>
          <cell r="H23">
            <v>0</v>
          </cell>
          <cell r="I23">
            <v>79628</v>
          </cell>
          <cell r="R23">
            <v>0</v>
          </cell>
          <cell r="S23">
            <v>0</v>
          </cell>
          <cell r="T23" t="e">
            <v>#REF!</v>
          </cell>
          <cell r="U23">
            <v>79628</v>
          </cell>
        </row>
        <row r="819">
          <cell r="IV819">
            <v>193</v>
          </cell>
        </row>
        <row r="820">
          <cell r="IV820" t="str">
            <v>94A</v>
          </cell>
        </row>
        <row r="821">
          <cell r="IV821" t="str">
            <v>94B</v>
          </cell>
        </row>
        <row r="822">
          <cell r="IV822" t="str">
            <v>4BB</v>
          </cell>
        </row>
        <row r="823">
          <cell r="IV823" t="str">
            <v>94C</v>
          </cell>
        </row>
        <row r="824">
          <cell r="IV824" t="str">
            <v>94D</v>
          </cell>
        </row>
        <row r="825">
          <cell r="IV825" t="str">
            <v>4EE</v>
          </cell>
        </row>
        <row r="826">
          <cell r="IV826" t="str">
            <v>94F</v>
          </cell>
        </row>
        <row r="827">
          <cell r="IV827" t="str">
            <v>94G</v>
          </cell>
        </row>
        <row r="828">
          <cell r="IV828" t="str">
            <v>94H</v>
          </cell>
        </row>
        <row r="829">
          <cell r="IV829" t="str">
            <v>94I</v>
          </cell>
        </row>
        <row r="830">
          <cell r="IV830" t="str">
            <v>94J</v>
          </cell>
        </row>
        <row r="831">
          <cell r="IV831" t="str">
            <v>94K</v>
          </cell>
        </row>
        <row r="832">
          <cell r="IV832" t="str">
            <v>94L</v>
          </cell>
        </row>
      </sheetData>
      <sheetData sheetId="3">
        <row r="11">
          <cell r="A11">
            <v>1</v>
          </cell>
          <cell r="R11">
            <v>306</v>
          </cell>
          <cell r="W11">
            <v>306</v>
          </cell>
        </row>
        <row r="12">
          <cell r="A12">
            <v>3</v>
          </cell>
          <cell r="R12">
            <v>25</v>
          </cell>
          <cell r="W12">
            <v>25</v>
          </cell>
        </row>
        <row r="13">
          <cell r="A13">
            <v>1</v>
          </cell>
          <cell r="R13">
            <v>445</v>
          </cell>
          <cell r="W13">
            <v>445</v>
          </cell>
        </row>
        <row r="14">
          <cell r="A14">
            <v>1</v>
          </cell>
          <cell r="R14">
            <v>600</v>
          </cell>
          <cell r="W14">
            <v>600</v>
          </cell>
        </row>
        <row r="15">
          <cell r="A15">
            <v>1</v>
          </cell>
          <cell r="R15">
            <v>306</v>
          </cell>
          <cell r="W15">
            <v>306</v>
          </cell>
        </row>
        <row r="16">
          <cell r="A16">
            <v>1</v>
          </cell>
          <cell r="R16">
            <v>45</v>
          </cell>
          <cell r="W16">
            <v>45</v>
          </cell>
        </row>
        <row r="17">
          <cell r="A17">
            <v>1</v>
          </cell>
          <cell r="R17">
            <v>59</v>
          </cell>
          <cell r="W17">
            <v>59</v>
          </cell>
        </row>
        <row r="18">
          <cell r="A18">
            <v>1</v>
          </cell>
          <cell r="R18">
            <v>63</v>
          </cell>
          <cell r="W18">
            <v>63</v>
          </cell>
        </row>
        <row r="19">
          <cell r="A19">
            <v>1</v>
          </cell>
          <cell r="R19">
            <v>108</v>
          </cell>
          <cell r="W19">
            <v>108</v>
          </cell>
        </row>
        <row r="20">
          <cell r="A20">
            <v>1</v>
          </cell>
          <cell r="R20">
            <v>122</v>
          </cell>
          <cell r="W20">
            <v>122</v>
          </cell>
        </row>
        <row r="21">
          <cell r="A21">
            <v>1</v>
          </cell>
          <cell r="R21">
            <v>263</v>
          </cell>
          <cell r="W21">
            <v>263</v>
          </cell>
        </row>
        <row r="22">
          <cell r="A22">
            <v>1</v>
          </cell>
          <cell r="R22">
            <v>282</v>
          </cell>
          <cell r="W22">
            <v>282</v>
          </cell>
        </row>
        <row r="23">
          <cell r="A23">
            <v>1</v>
          </cell>
          <cell r="R23">
            <v>306</v>
          </cell>
          <cell r="W23">
            <v>306</v>
          </cell>
        </row>
        <row r="24">
          <cell r="A24">
            <v>3</v>
          </cell>
          <cell r="R24">
            <v>628</v>
          </cell>
          <cell r="W24">
            <v>628</v>
          </cell>
        </row>
        <row r="25">
          <cell r="A25">
            <v>1</v>
          </cell>
          <cell r="R25">
            <v>51</v>
          </cell>
          <cell r="W25">
            <v>51</v>
          </cell>
        </row>
        <row r="26">
          <cell r="A26">
            <v>1</v>
          </cell>
          <cell r="R26">
            <v>85</v>
          </cell>
          <cell r="W26">
            <v>85</v>
          </cell>
        </row>
        <row r="27">
          <cell r="A27">
            <v>1</v>
          </cell>
          <cell r="R27">
            <v>102</v>
          </cell>
          <cell r="W27">
            <v>102</v>
          </cell>
        </row>
        <row r="28">
          <cell r="A28">
            <v>1</v>
          </cell>
          <cell r="R28">
            <v>33</v>
          </cell>
          <cell r="W28">
            <v>33</v>
          </cell>
        </row>
        <row r="29">
          <cell r="A29">
            <v>1</v>
          </cell>
          <cell r="R29">
            <v>426</v>
          </cell>
          <cell r="W29">
            <v>426</v>
          </cell>
        </row>
        <row r="30">
          <cell r="A30">
            <v>1</v>
          </cell>
          <cell r="R30">
            <v>551</v>
          </cell>
          <cell r="W30">
            <v>551</v>
          </cell>
        </row>
        <row r="31">
          <cell r="A31">
            <v>1</v>
          </cell>
          <cell r="R31">
            <v>520</v>
          </cell>
          <cell r="W31">
            <v>520</v>
          </cell>
        </row>
        <row r="32">
          <cell r="A32">
            <v>2</v>
          </cell>
          <cell r="R32">
            <v>8160</v>
          </cell>
          <cell r="W32">
            <v>8160</v>
          </cell>
        </row>
        <row r="33">
          <cell r="A33">
            <v>7</v>
          </cell>
          <cell r="R33">
            <v>291</v>
          </cell>
          <cell r="W33">
            <v>291</v>
          </cell>
        </row>
        <row r="34">
          <cell r="A34">
            <v>7</v>
          </cell>
          <cell r="R34">
            <v>329</v>
          </cell>
          <cell r="W34">
            <v>329</v>
          </cell>
        </row>
        <row r="35">
          <cell r="A35">
            <v>7</v>
          </cell>
          <cell r="R35">
            <v>169</v>
          </cell>
          <cell r="W35">
            <v>169</v>
          </cell>
        </row>
        <row r="36">
          <cell r="A36">
            <v>6</v>
          </cell>
          <cell r="R36">
            <v>235</v>
          </cell>
          <cell r="W36">
            <v>235</v>
          </cell>
        </row>
        <row r="37">
          <cell r="A37">
            <v>7</v>
          </cell>
          <cell r="R37">
            <v>369</v>
          </cell>
          <cell r="W37">
            <v>369</v>
          </cell>
        </row>
        <row r="38">
          <cell r="A38">
            <v>7</v>
          </cell>
          <cell r="R38">
            <v>86</v>
          </cell>
          <cell r="W38">
            <v>86</v>
          </cell>
        </row>
        <row r="39">
          <cell r="A39">
            <v>6</v>
          </cell>
          <cell r="R39">
            <v>365</v>
          </cell>
          <cell r="W39">
            <v>365</v>
          </cell>
        </row>
        <row r="40">
          <cell r="A40">
            <v>6</v>
          </cell>
          <cell r="R40">
            <v>8414</v>
          </cell>
          <cell r="W40">
            <v>8414</v>
          </cell>
        </row>
        <row r="41">
          <cell r="A41">
            <v>7</v>
          </cell>
          <cell r="R41">
            <v>192</v>
          </cell>
          <cell r="W41">
            <v>192</v>
          </cell>
        </row>
        <row r="42">
          <cell r="A42">
            <v>7</v>
          </cell>
          <cell r="R42">
            <v>205</v>
          </cell>
          <cell r="W42">
            <v>205</v>
          </cell>
        </row>
        <row r="43">
          <cell r="A43">
            <v>6</v>
          </cell>
          <cell r="R43">
            <v>17</v>
          </cell>
          <cell r="W43">
            <v>17</v>
          </cell>
        </row>
        <row r="44">
          <cell r="A44">
            <v>7</v>
          </cell>
          <cell r="R44">
            <v>445</v>
          </cell>
          <cell r="W44">
            <v>445</v>
          </cell>
        </row>
        <row r="45">
          <cell r="A45">
            <v>4</v>
          </cell>
          <cell r="R45">
            <v>4080</v>
          </cell>
          <cell r="W45">
            <v>4080</v>
          </cell>
        </row>
        <row r="46">
          <cell r="A46">
            <v>7</v>
          </cell>
          <cell r="R46">
            <v>148</v>
          </cell>
          <cell r="W46">
            <v>148</v>
          </cell>
        </row>
        <row r="47">
          <cell r="A47">
            <v>7</v>
          </cell>
          <cell r="R47">
            <v>440</v>
          </cell>
          <cell r="W47">
            <v>440</v>
          </cell>
        </row>
        <row r="48">
          <cell r="A48">
            <v>5</v>
          </cell>
          <cell r="R48">
            <v>6194</v>
          </cell>
          <cell r="W48">
            <v>6194</v>
          </cell>
        </row>
        <row r="49">
          <cell r="A49">
            <v>5</v>
          </cell>
          <cell r="R49">
            <v>8976</v>
          </cell>
          <cell r="W49">
            <v>8976</v>
          </cell>
        </row>
        <row r="50">
          <cell r="A50">
            <v>5</v>
          </cell>
          <cell r="R50">
            <v>8976</v>
          </cell>
          <cell r="W50">
            <v>8976</v>
          </cell>
        </row>
        <row r="51">
          <cell r="A51">
            <v>9</v>
          </cell>
          <cell r="R51">
            <v>507</v>
          </cell>
          <cell r="W51">
            <v>507</v>
          </cell>
        </row>
        <row r="52">
          <cell r="A52">
            <v>11</v>
          </cell>
          <cell r="R52">
            <v>102</v>
          </cell>
          <cell r="W52">
            <v>102</v>
          </cell>
        </row>
        <row r="53">
          <cell r="A53">
            <v>11</v>
          </cell>
          <cell r="R53">
            <v>34</v>
          </cell>
          <cell r="W53">
            <v>34</v>
          </cell>
        </row>
        <row r="54">
          <cell r="A54">
            <v>11</v>
          </cell>
          <cell r="R54">
            <v>198</v>
          </cell>
          <cell r="W54">
            <v>198</v>
          </cell>
        </row>
        <row r="55">
          <cell r="A55">
            <v>11</v>
          </cell>
          <cell r="R55">
            <v>354</v>
          </cell>
          <cell r="W55">
            <v>354</v>
          </cell>
        </row>
        <row r="56">
          <cell r="A56">
            <v>11</v>
          </cell>
          <cell r="R56">
            <v>649</v>
          </cell>
          <cell r="W56">
            <v>649</v>
          </cell>
        </row>
        <row r="57">
          <cell r="A57">
            <v>11</v>
          </cell>
          <cell r="R57">
            <v>1045</v>
          </cell>
          <cell r="W57">
            <v>1045</v>
          </cell>
        </row>
        <row r="58">
          <cell r="A58">
            <v>9</v>
          </cell>
          <cell r="R58">
            <v>2191</v>
          </cell>
          <cell r="W58">
            <v>2191</v>
          </cell>
        </row>
        <row r="59">
          <cell r="A59">
            <v>8</v>
          </cell>
          <cell r="R59">
            <v>8976</v>
          </cell>
          <cell r="W59">
            <v>8976</v>
          </cell>
        </row>
        <row r="60">
          <cell r="A60">
            <v>11</v>
          </cell>
          <cell r="R60">
            <v>386</v>
          </cell>
          <cell r="W60">
            <v>386</v>
          </cell>
        </row>
        <row r="61">
          <cell r="A61">
            <v>11</v>
          </cell>
          <cell r="R61">
            <v>177</v>
          </cell>
          <cell r="W61">
            <v>177</v>
          </cell>
        </row>
        <row r="62">
          <cell r="A62">
            <v>11</v>
          </cell>
          <cell r="R62">
            <v>222</v>
          </cell>
          <cell r="W62">
            <v>222</v>
          </cell>
        </row>
        <row r="63">
          <cell r="A63">
            <v>11</v>
          </cell>
          <cell r="R63">
            <v>612</v>
          </cell>
          <cell r="W63">
            <v>612</v>
          </cell>
        </row>
        <row r="64">
          <cell r="A64">
            <v>11</v>
          </cell>
          <cell r="R64">
            <v>37</v>
          </cell>
          <cell r="W64">
            <v>37</v>
          </cell>
        </row>
        <row r="65">
          <cell r="A65">
            <v>9</v>
          </cell>
          <cell r="R65">
            <v>180</v>
          </cell>
          <cell r="W65">
            <v>180</v>
          </cell>
        </row>
        <row r="66">
          <cell r="A66">
            <v>11</v>
          </cell>
          <cell r="R66">
            <v>368</v>
          </cell>
          <cell r="W66">
            <v>368</v>
          </cell>
        </row>
        <row r="67">
          <cell r="A67">
            <v>9</v>
          </cell>
          <cell r="R67">
            <v>607</v>
          </cell>
          <cell r="W67">
            <v>607</v>
          </cell>
        </row>
        <row r="68">
          <cell r="A68">
            <v>9</v>
          </cell>
          <cell r="R68">
            <v>1904</v>
          </cell>
          <cell r="W68">
            <v>1904</v>
          </cell>
        </row>
        <row r="69">
          <cell r="A69">
            <v>11</v>
          </cell>
          <cell r="R69">
            <v>770</v>
          </cell>
          <cell r="W69">
            <v>770</v>
          </cell>
        </row>
        <row r="70">
          <cell r="A70">
            <v>11</v>
          </cell>
          <cell r="R70">
            <v>63</v>
          </cell>
          <cell r="W70">
            <v>63</v>
          </cell>
        </row>
        <row r="71">
          <cell r="A71">
            <v>11</v>
          </cell>
          <cell r="R71">
            <v>63</v>
          </cell>
          <cell r="W71">
            <v>63</v>
          </cell>
        </row>
        <row r="72">
          <cell r="A72">
            <v>11</v>
          </cell>
          <cell r="R72">
            <v>108</v>
          </cell>
          <cell r="W72">
            <v>108</v>
          </cell>
        </row>
        <row r="73">
          <cell r="A73">
            <v>11</v>
          </cell>
          <cell r="R73">
            <v>147</v>
          </cell>
          <cell r="W73">
            <v>147</v>
          </cell>
        </row>
        <row r="74">
          <cell r="A74">
            <v>9</v>
          </cell>
          <cell r="R74">
            <v>987</v>
          </cell>
          <cell r="W74">
            <v>987</v>
          </cell>
        </row>
        <row r="75">
          <cell r="A75">
            <v>11</v>
          </cell>
          <cell r="R75">
            <v>429</v>
          </cell>
          <cell r="W75">
            <v>429</v>
          </cell>
        </row>
        <row r="76">
          <cell r="A76">
            <v>11</v>
          </cell>
          <cell r="R76">
            <v>485</v>
          </cell>
          <cell r="W76">
            <v>485</v>
          </cell>
        </row>
        <row r="77">
          <cell r="A77">
            <v>11</v>
          </cell>
          <cell r="R77">
            <v>11</v>
          </cell>
          <cell r="W77">
            <v>11</v>
          </cell>
        </row>
        <row r="78">
          <cell r="A78">
            <v>11</v>
          </cell>
          <cell r="R78">
            <v>29</v>
          </cell>
          <cell r="W78">
            <v>29</v>
          </cell>
        </row>
        <row r="79">
          <cell r="A79">
            <v>11</v>
          </cell>
          <cell r="R79">
            <v>61</v>
          </cell>
          <cell r="W79">
            <v>61</v>
          </cell>
        </row>
        <row r="80">
          <cell r="A80">
            <v>11</v>
          </cell>
          <cell r="R80">
            <v>123</v>
          </cell>
          <cell r="W80">
            <v>123</v>
          </cell>
        </row>
        <row r="81">
          <cell r="A81">
            <v>11</v>
          </cell>
          <cell r="R81">
            <v>164</v>
          </cell>
          <cell r="W81">
            <v>164</v>
          </cell>
        </row>
        <row r="82">
          <cell r="A82">
            <v>11</v>
          </cell>
          <cell r="R82">
            <v>169</v>
          </cell>
          <cell r="W82">
            <v>169</v>
          </cell>
        </row>
        <row r="83">
          <cell r="A83">
            <v>11</v>
          </cell>
          <cell r="R83">
            <v>55</v>
          </cell>
          <cell r="W83">
            <v>55</v>
          </cell>
        </row>
        <row r="84">
          <cell r="A84">
            <v>11</v>
          </cell>
          <cell r="R84">
            <v>181</v>
          </cell>
          <cell r="W84">
            <v>181</v>
          </cell>
        </row>
        <row r="85">
          <cell r="A85">
            <v>11</v>
          </cell>
          <cell r="R85">
            <v>100</v>
          </cell>
          <cell r="W85">
            <v>100</v>
          </cell>
        </row>
        <row r="86">
          <cell r="A86">
            <v>11</v>
          </cell>
          <cell r="R86">
            <v>165</v>
          </cell>
          <cell r="W86">
            <v>165</v>
          </cell>
        </row>
        <row r="87">
          <cell r="A87">
            <v>11</v>
          </cell>
          <cell r="R87">
            <v>119</v>
          </cell>
          <cell r="W87">
            <v>119</v>
          </cell>
        </row>
        <row r="88">
          <cell r="A88">
            <v>12</v>
          </cell>
          <cell r="R88">
            <v>256</v>
          </cell>
          <cell r="W88">
            <v>256</v>
          </cell>
        </row>
        <row r="89">
          <cell r="A89">
            <v>12</v>
          </cell>
          <cell r="R89">
            <v>365</v>
          </cell>
          <cell r="W89">
            <v>365</v>
          </cell>
        </row>
        <row r="90">
          <cell r="A90">
            <v>11</v>
          </cell>
          <cell r="R90">
            <v>166</v>
          </cell>
          <cell r="W90">
            <v>166</v>
          </cell>
        </row>
        <row r="91">
          <cell r="A91">
            <v>12</v>
          </cell>
          <cell r="R91">
            <v>242</v>
          </cell>
          <cell r="W91">
            <v>242</v>
          </cell>
        </row>
        <row r="92">
          <cell r="A92">
            <v>10</v>
          </cell>
          <cell r="R92">
            <v>85</v>
          </cell>
          <cell r="W92">
            <v>85</v>
          </cell>
        </row>
        <row r="93">
          <cell r="A93">
            <v>11</v>
          </cell>
          <cell r="R93">
            <v>474</v>
          </cell>
          <cell r="W93">
            <v>474</v>
          </cell>
        </row>
        <row r="94">
          <cell r="A94">
            <v>12</v>
          </cell>
          <cell r="R94">
            <v>37</v>
          </cell>
          <cell r="W94">
            <v>37</v>
          </cell>
        </row>
        <row r="95">
          <cell r="A95">
            <v>12</v>
          </cell>
          <cell r="R95">
            <v>1507</v>
          </cell>
          <cell r="W95">
            <v>1507</v>
          </cell>
        </row>
        <row r="96">
          <cell r="A96">
            <v>13</v>
          </cell>
          <cell r="R96">
            <v>157</v>
          </cell>
          <cell r="W96">
            <v>157</v>
          </cell>
        </row>
        <row r="97">
          <cell r="A97">
            <v>11</v>
          </cell>
          <cell r="R97">
            <v>61</v>
          </cell>
          <cell r="W97">
            <v>61</v>
          </cell>
        </row>
        <row r="98">
          <cell r="A98">
            <v>12</v>
          </cell>
          <cell r="R98">
            <v>83</v>
          </cell>
          <cell r="W98">
            <v>83</v>
          </cell>
        </row>
        <row r="105">
          <cell r="A105" t="str">
            <v>Total</v>
          </cell>
          <cell r="R105">
            <v>79628</v>
          </cell>
          <cell r="W105">
            <v>79628</v>
          </cell>
        </row>
      </sheetData>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4 - 05"/>
      <sheetName val="Company_information1"/>
      <sheetName val="Bank_summary1"/>
      <sheetName val="VAT_return1"/>
      <sheetName val="IR35_Calc_Instructions1"/>
      <sheetName val="IR35_Calculator_2004_-_051"/>
      <sheetName val="Company_information"/>
      <sheetName val="Bank_summary"/>
      <sheetName val="VAT_return"/>
      <sheetName val="IR35_Calc_Instructions"/>
      <sheetName val="IR35_Calculator_2004_-_05"/>
      <sheetName val="Company_information2"/>
      <sheetName val="Bank_summary2"/>
      <sheetName val="VAT_return2"/>
      <sheetName val="IR35_Calc_Instructions2"/>
      <sheetName val="IR35_Calculator_2004_-_0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5">
          <cell r="A65" t="str">
            <v>Yes</v>
          </cell>
        </row>
        <row r="66">
          <cell r="A66" t="str">
            <v>No</v>
          </cell>
        </row>
      </sheetData>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 val="3CD-Ratios-Anx_1"/>
      <sheetName val="3CD-Ratios-Anx_"/>
      <sheetName val="3CD-Ratios-Anx_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C3" t="str">
            <v>Portalplayer (India) Private Limited</v>
          </cell>
        </row>
        <row r="4">
          <cell r="C4" t="str">
            <v>Plot No:249, Prashasan Nagar,Road No:72, Jubilee Hills,Hyderabad-500 034.</v>
          </cell>
        </row>
        <row r="7">
          <cell r="C7" t="str">
            <v>Private Limited Company</v>
          </cell>
        </row>
        <row r="11">
          <cell r="C11" t="str">
            <v>AABCP7418F</v>
          </cell>
        </row>
        <row r="16">
          <cell r="C16" t="str">
            <v>Partner</v>
          </cell>
        </row>
        <row r="19">
          <cell r="C19" t="str">
            <v>Deloitte Haskins &amp; Sells</v>
          </cell>
        </row>
        <row r="20">
          <cell r="C20" t="str">
            <v>P.R. Ramesh</v>
          </cell>
        </row>
        <row r="23">
          <cell r="C23" t="str">
            <v>M.No: 70928</v>
          </cell>
        </row>
        <row r="24">
          <cell r="C24" t="str">
            <v>Chartered Accountants,7th Floor, Amrutha Estates,Lingapur House,Himayathnagar,Hyderabad-500 029.</v>
          </cell>
        </row>
        <row r="28">
          <cell r="C28" t="str">
            <v>31-03-2006</v>
          </cell>
        </row>
        <row r="34">
          <cell r="C34" t="str">
            <v>2006-07</v>
          </cell>
        </row>
        <row r="40">
          <cell r="C40" t="str">
            <v>August 5, 2006</v>
          </cell>
        </row>
        <row r="43">
          <cell r="C43" t="str">
            <v>Hyderabad</v>
          </cell>
        </row>
        <row r="45">
          <cell r="C45" t="str">
            <v>Software Development</v>
          </cell>
        </row>
        <row r="46">
          <cell r="C46" t="str">
            <v>Mercantile</v>
          </cell>
        </row>
      </sheetData>
      <sheetData sheetId="35"/>
      <sheetData sheetId="36"/>
      <sheetData sheetId="3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 val="3CD-Ratios-Anx_1"/>
      <sheetName val="3CD-Ratios-Anx_"/>
      <sheetName val="3CD-Ratios-Anx_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3">
          <cell r="C13" t="str">
            <v>Kamlesh L. Doshi &amp; Co.</v>
          </cell>
        </row>
        <row r="19">
          <cell r="C19" t="str">
            <v>B. M. S. &amp; Co.</v>
          </cell>
        </row>
        <row r="21">
          <cell r="C21" t="str">
            <v xml:space="preserve">B. Com.,  F.C.A. </v>
          </cell>
        </row>
        <row r="22">
          <cell r="C22" t="str">
            <v>Proprietor</v>
          </cell>
        </row>
        <row r="27">
          <cell r="C27" t="str">
            <v>31st March, 2005</v>
          </cell>
        </row>
        <row r="35">
          <cell r="C35" t="str">
            <v>August 5, 2005</v>
          </cell>
        </row>
      </sheetData>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
      <sheetName val="#REF"/>
      <sheetName val="Breadown"/>
      <sheetName val="diffbetphy&amp;stock"/>
    </sheetNames>
    <sheetDataSet>
      <sheetData sheetId="0" refreshError="1">
        <row r="378">
          <cell r="A378">
            <v>11000</v>
          </cell>
          <cell r="B378" t="str">
            <v>Plant and machinery</v>
          </cell>
          <cell r="C378">
            <v>7254019.2400000002</v>
          </cell>
        </row>
        <row r="379">
          <cell r="A379">
            <v>11010</v>
          </cell>
          <cell r="B379" t="str">
            <v>Accumulated depreciation-plant and mach</v>
          </cell>
          <cell r="C379">
            <v>-2453324.69</v>
          </cell>
        </row>
        <row r="380">
          <cell r="A380">
            <v>13000</v>
          </cell>
          <cell r="B380" t="str">
            <v>Vehicles</v>
          </cell>
          <cell r="C380">
            <v>3699686.99</v>
          </cell>
        </row>
        <row r="381">
          <cell r="A381">
            <v>13010</v>
          </cell>
          <cell r="B381" t="str">
            <v>Accumulated depreciation-Vehicles</v>
          </cell>
          <cell r="C381">
            <v>-502409.22</v>
          </cell>
        </row>
        <row r="382">
          <cell r="A382">
            <v>13020</v>
          </cell>
          <cell r="B382" t="str">
            <v>Accumulated depreciation-Vehicles</v>
          </cell>
          <cell r="C382">
            <v>0</v>
          </cell>
        </row>
        <row r="383">
          <cell r="A383">
            <v>21000</v>
          </cell>
          <cell r="B383" t="str">
            <v>Office equipment</v>
          </cell>
          <cell r="C383">
            <v>3936390.06</v>
          </cell>
        </row>
        <row r="384">
          <cell r="A384">
            <v>21010</v>
          </cell>
          <cell r="B384" t="str">
            <v>Accumulated depreciation-office equipme</v>
          </cell>
          <cell r="C384">
            <v>-1553603.18</v>
          </cell>
        </row>
        <row r="385">
          <cell r="A385">
            <v>21020</v>
          </cell>
          <cell r="B385" t="str">
            <v>Accumulated depreciation-office equipme</v>
          </cell>
          <cell r="C385">
            <v>0</v>
          </cell>
        </row>
        <row r="386">
          <cell r="A386">
            <v>23000</v>
          </cell>
          <cell r="B386" t="str">
            <v>Furniture &amp; fixtures.</v>
          </cell>
          <cell r="C386">
            <v>8528329.9700000007</v>
          </cell>
        </row>
        <row r="387">
          <cell r="A387">
            <v>23010</v>
          </cell>
          <cell r="B387" t="str">
            <v>Accumulated Depreciation - Furniutre &amp;</v>
          </cell>
          <cell r="C387">
            <v>-3178495.91</v>
          </cell>
        </row>
        <row r="388">
          <cell r="A388">
            <v>24000</v>
          </cell>
          <cell r="B388" t="str">
            <v>Computers</v>
          </cell>
          <cell r="C388">
            <v>8284977.1600000001</v>
          </cell>
        </row>
        <row r="389">
          <cell r="A389">
            <v>24010</v>
          </cell>
          <cell r="B389" t="str">
            <v>Accumulated Depreciation - Computers</v>
          </cell>
          <cell r="C389">
            <v>-7552206.6100000003</v>
          </cell>
        </row>
        <row r="390">
          <cell r="A390">
            <v>24020</v>
          </cell>
          <cell r="B390" t="str">
            <v>Accumulated Depreciation - Computers</v>
          </cell>
          <cell r="C390">
            <v>0</v>
          </cell>
        </row>
        <row r="391">
          <cell r="A391">
            <v>34000</v>
          </cell>
          <cell r="B391" t="str">
            <v>Computer software</v>
          </cell>
          <cell r="C391">
            <v>7440500</v>
          </cell>
        </row>
        <row r="392">
          <cell r="A392">
            <v>34010</v>
          </cell>
          <cell r="B392" t="str">
            <v>Accumulated depreciation-computer softw</v>
          </cell>
          <cell r="C392">
            <v>-6536972.2800000003</v>
          </cell>
        </row>
        <row r="393">
          <cell r="A393">
            <v>38000</v>
          </cell>
          <cell r="B393" t="str">
            <v>Goodwill</v>
          </cell>
          <cell r="C393">
            <v>76923000</v>
          </cell>
        </row>
        <row r="394">
          <cell r="A394">
            <v>38010</v>
          </cell>
          <cell r="B394" t="str">
            <v>Accumulated Goodwill write-off</v>
          </cell>
          <cell r="C394">
            <v>-35230031.509999998</v>
          </cell>
        </row>
        <row r="395">
          <cell r="A395">
            <v>38100</v>
          </cell>
          <cell r="B395" t="str">
            <v>Business value</v>
          </cell>
          <cell r="C395">
            <v>136431000</v>
          </cell>
        </row>
        <row r="396">
          <cell r="A396">
            <v>38110</v>
          </cell>
          <cell r="B396" t="str">
            <v>Accumulated Business Value write off</v>
          </cell>
          <cell r="C396">
            <v>-62484152.049999997</v>
          </cell>
        </row>
        <row r="397">
          <cell r="A397">
            <v>38500</v>
          </cell>
          <cell r="B397" t="str">
            <v>Non-Competing fees</v>
          </cell>
          <cell r="C397">
            <v>93753000</v>
          </cell>
        </row>
        <row r="398">
          <cell r="A398">
            <v>38510</v>
          </cell>
          <cell r="B398" t="str">
            <v>Accumulated Non-Compete Fees Write off</v>
          </cell>
          <cell r="C398">
            <v>-93753000</v>
          </cell>
        </row>
        <row r="399">
          <cell r="A399">
            <v>39000</v>
          </cell>
          <cell r="B399" t="str">
            <v>Commercial rights (Marketing and Dist.R</v>
          </cell>
          <cell r="C399">
            <v>18643000</v>
          </cell>
        </row>
        <row r="400">
          <cell r="A400">
            <v>39010</v>
          </cell>
          <cell r="B400" t="str">
            <v>Acc.Comm.rights</v>
          </cell>
          <cell r="C400">
            <v>-6163487.6100000003</v>
          </cell>
        </row>
        <row r="401">
          <cell r="A401">
            <v>39020</v>
          </cell>
          <cell r="B401" t="str">
            <v>Acc.Comm.rights</v>
          </cell>
          <cell r="C401">
            <v>0</v>
          </cell>
        </row>
        <row r="402">
          <cell r="A402">
            <v>60500</v>
          </cell>
          <cell r="B402" t="str">
            <v>Unsecured Loan- DyStar Textilfarben Gmb</v>
          </cell>
          <cell r="C402">
            <v>-116497469.53</v>
          </cell>
        </row>
        <row r="403">
          <cell r="A403">
            <v>60520</v>
          </cell>
          <cell r="B403" t="str">
            <v>Liability for exchange Diff FC loan - D</v>
          </cell>
          <cell r="C403">
            <v>-30646481.239999998</v>
          </cell>
        </row>
        <row r="404">
          <cell r="A404">
            <v>63200</v>
          </cell>
          <cell r="B404" t="str">
            <v>Packing Credit Hongkong Bank.</v>
          </cell>
          <cell r="C404">
            <v>0</v>
          </cell>
        </row>
        <row r="405">
          <cell r="A405">
            <v>63300</v>
          </cell>
          <cell r="B405" t="str">
            <v>Working Capital Loan-Hongkong Bank</v>
          </cell>
          <cell r="C405">
            <v>-35000000</v>
          </cell>
        </row>
        <row r="406">
          <cell r="A406">
            <v>63400</v>
          </cell>
          <cell r="B406" t="str">
            <v>Long Term Working Capital Loan Hongkong</v>
          </cell>
          <cell r="C406">
            <v>0</v>
          </cell>
        </row>
        <row r="407">
          <cell r="A407">
            <v>70000</v>
          </cell>
          <cell r="B407" t="str">
            <v>Equity Share Capital</v>
          </cell>
          <cell r="C407">
            <v>-222815300</v>
          </cell>
        </row>
        <row r="408">
          <cell r="A408">
            <v>75000</v>
          </cell>
          <cell r="B408" t="str">
            <v>Accumulated Profit &amp; Loss</v>
          </cell>
          <cell r="C408">
            <v>34020108.950000003</v>
          </cell>
        </row>
        <row r="409">
          <cell r="A409">
            <v>100000</v>
          </cell>
          <cell r="B409" t="str">
            <v>Petty cash maintained at Corporate Offi</v>
          </cell>
          <cell r="C409">
            <v>7184</v>
          </cell>
        </row>
        <row r="410">
          <cell r="A410">
            <v>113100</v>
          </cell>
          <cell r="B410" t="str">
            <v>Deutsche Bank Current Account</v>
          </cell>
          <cell r="C410">
            <v>272005.21000000002</v>
          </cell>
        </row>
        <row r="411">
          <cell r="A411">
            <v>113101</v>
          </cell>
          <cell r="B411" t="str">
            <v>Deutsche Bank Current Account (payment</v>
          </cell>
          <cell r="C411">
            <v>100</v>
          </cell>
        </row>
        <row r="412">
          <cell r="A412">
            <v>113108</v>
          </cell>
          <cell r="B412" t="str">
            <v>Deutsche Bank Current Account (receipts</v>
          </cell>
          <cell r="C412">
            <v>-2796</v>
          </cell>
        </row>
        <row r="413">
          <cell r="A413">
            <v>113300</v>
          </cell>
          <cell r="B413" t="str">
            <v>Hongkong Bank Current Account.</v>
          </cell>
          <cell r="C413">
            <v>22362574.539999999</v>
          </cell>
        </row>
        <row r="414">
          <cell r="A414">
            <v>113301</v>
          </cell>
          <cell r="B414" t="str">
            <v>Hongkong Bank Current Account (payment</v>
          </cell>
          <cell r="C414">
            <v>-21920782.390000001</v>
          </cell>
        </row>
        <row r="415">
          <cell r="A415">
            <v>113307</v>
          </cell>
          <cell r="B415" t="str">
            <v>Hongkong Bank Current Account (discount</v>
          </cell>
          <cell r="C415">
            <v>0</v>
          </cell>
        </row>
        <row r="416">
          <cell r="A416">
            <v>113308</v>
          </cell>
          <cell r="B416" t="str">
            <v>Hongkong Bank Current Account (receipts</v>
          </cell>
          <cell r="C416">
            <v>0</v>
          </cell>
        </row>
        <row r="417">
          <cell r="A417">
            <v>113400</v>
          </cell>
          <cell r="B417" t="str">
            <v>Syndicate Bank Current Account</v>
          </cell>
          <cell r="C417">
            <v>1455092.44</v>
          </cell>
        </row>
        <row r="418">
          <cell r="A418">
            <v>113401</v>
          </cell>
          <cell r="B418" t="str">
            <v>Syndicate Bank Current Account(payment</v>
          </cell>
          <cell r="C418">
            <v>-1320231</v>
          </cell>
        </row>
        <row r="419">
          <cell r="A419">
            <v>113500</v>
          </cell>
          <cell r="B419" t="str">
            <v>Citi Bank Current Account</v>
          </cell>
          <cell r="C419">
            <v>1581079.84</v>
          </cell>
        </row>
        <row r="420">
          <cell r="A420">
            <v>113501</v>
          </cell>
          <cell r="B420" t="str">
            <v>Citi Bank Current Account (payment clea</v>
          </cell>
          <cell r="C420">
            <v>-1580000</v>
          </cell>
        </row>
        <row r="421">
          <cell r="A421">
            <v>113508</v>
          </cell>
          <cell r="B421" t="str">
            <v>Citi Bank Current Account (receipts cle</v>
          </cell>
          <cell r="C421">
            <v>-1079.8399999999999</v>
          </cell>
        </row>
        <row r="422">
          <cell r="A422">
            <v>113600</v>
          </cell>
          <cell r="B422" t="str">
            <v>ICICI Bank</v>
          </cell>
          <cell r="C422">
            <v>311268.15000000002</v>
          </cell>
        </row>
        <row r="423">
          <cell r="A423">
            <v>113601</v>
          </cell>
          <cell r="B423" t="str">
            <v>ICICI Current Account (payment clearing</v>
          </cell>
          <cell r="C423">
            <v>-904856</v>
          </cell>
        </row>
        <row r="424">
          <cell r="A424">
            <v>113608</v>
          </cell>
          <cell r="B424" t="str">
            <v>ICICI Current Account (receipts clearin</v>
          </cell>
          <cell r="C424">
            <v>91000</v>
          </cell>
        </row>
        <row r="425">
          <cell r="A425">
            <v>113700</v>
          </cell>
          <cell r="B425" t="str">
            <v>ICICI - COIMBATORE</v>
          </cell>
          <cell r="C425">
            <v>88863.83</v>
          </cell>
        </row>
        <row r="426">
          <cell r="A426">
            <v>113701</v>
          </cell>
          <cell r="B426" t="str">
            <v>ICICI - COIMB. (payment clearing)</v>
          </cell>
          <cell r="C426">
            <v>-12284</v>
          </cell>
        </row>
        <row r="427">
          <cell r="A427">
            <v>113708</v>
          </cell>
          <cell r="B427" t="str">
            <v>ICICI - COIMB. (receipts clearing)</v>
          </cell>
          <cell r="C427">
            <v>0</v>
          </cell>
        </row>
        <row r="428">
          <cell r="A428">
            <v>113801</v>
          </cell>
          <cell r="B428" t="str">
            <v>COMMERZBANK  AG  (PAYMENT CLEARING)</v>
          </cell>
          <cell r="C428">
            <v>-30000000</v>
          </cell>
        </row>
        <row r="429">
          <cell r="A429">
            <v>113808</v>
          </cell>
          <cell r="B429" t="str">
            <v>COMMERZBANK AG (RECEIPTS CLEARING)</v>
          </cell>
          <cell r="C429">
            <v>30000000</v>
          </cell>
        </row>
        <row r="430">
          <cell r="A430">
            <v>113830</v>
          </cell>
          <cell r="B430" t="str">
            <v>Fixed Deposits with Syndicate Bank</v>
          </cell>
          <cell r="C430">
            <v>139943</v>
          </cell>
        </row>
        <row r="431">
          <cell r="A431">
            <v>113850</v>
          </cell>
          <cell r="B431" t="str">
            <v>Fixed Deposits with ICICI Bank</v>
          </cell>
          <cell r="C431">
            <v>583087</v>
          </cell>
        </row>
        <row r="432">
          <cell r="A432">
            <v>113900</v>
          </cell>
          <cell r="B432" t="str">
            <v>State Bank of India - Manjakuppam</v>
          </cell>
          <cell r="C432">
            <v>5000</v>
          </cell>
        </row>
        <row r="433">
          <cell r="A433">
            <v>113910</v>
          </cell>
          <cell r="B433" t="str">
            <v>Deutsche Bank Current Account (Delhi)</v>
          </cell>
          <cell r="C433">
            <v>6683.18</v>
          </cell>
        </row>
        <row r="434">
          <cell r="A434">
            <v>113920</v>
          </cell>
          <cell r="B434" t="str">
            <v>State Bank Of India (Jnpt)</v>
          </cell>
          <cell r="C434">
            <v>19225</v>
          </cell>
        </row>
        <row r="435">
          <cell r="A435">
            <v>113930</v>
          </cell>
          <cell r="B435" t="str">
            <v>State Bank Of India - (Sahar)</v>
          </cell>
          <cell r="C435">
            <v>22062.95</v>
          </cell>
        </row>
        <row r="436">
          <cell r="A436">
            <v>113950</v>
          </cell>
          <cell r="B436" t="str">
            <v>Bank Of India Current Account</v>
          </cell>
          <cell r="C436">
            <v>5000</v>
          </cell>
        </row>
        <row r="437">
          <cell r="A437">
            <v>113960</v>
          </cell>
          <cell r="B437" t="str">
            <v>Deutsche Bank Salary Payable Account</v>
          </cell>
          <cell r="C437">
            <v>5279.92</v>
          </cell>
        </row>
        <row r="438">
          <cell r="A438">
            <v>113978</v>
          </cell>
          <cell r="B438" t="str">
            <v>ICICI Bank C/A COIMBATORE (receipts cle</v>
          </cell>
          <cell r="C438">
            <v>0.2</v>
          </cell>
        </row>
        <row r="439">
          <cell r="A439">
            <v>114000</v>
          </cell>
          <cell r="B439" t="str">
            <v>HDFC Bank</v>
          </cell>
          <cell r="C439">
            <v>19281</v>
          </cell>
        </row>
        <row r="440">
          <cell r="A440">
            <v>114200</v>
          </cell>
          <cell r="B440" t="str">
            <v>HSBC Collection Account.</v>
          </cell>
          <cell r="C440">
            <v>659548.87</v>
          </cell>
        </row>
        <row r="441">
          <cell r="A441">
            <v>114208</v>
          </cell>
          <cell r="B441" t="str">
            <v>HSBC Collection Account(receipts cleari</v>
          </cell>
          <cell r="C441">
            <v>-579676.72</v>
          </cell>
        </row>
        <row r="442">
          <cell r="A442">
            <v>120000</v>
          </cell>
          <cell r="B442" t="str">
            <v>Loans to Employees.</v>
          </cell>
          <cell r="C442">
            <v>1780100</v>
          </cell>
        </row>
        <row r="443">
          <cell r="A443">
            <v>125000</v>
          </cell>
          <cell r="B443" t="str">
            <v>Bills Receivable Foreign (Dystar Group)</v>
          </cell>
          <cell r="C443">
            <v>0</v>
          </cell>
        </row>
        <row r="444">
          <cell r="A444">
            <v>128000</v>
          </cell>
          <cell r="B444" t="str">
            <v>Security deposit given to (vendors)</v>
          </cell>
          <cell r="C444">
            <v>15487143</v>
          </cell>
        </row>
        <row r="445">
          <cell r="A445">
            <v>140000</v>
          </cell>
          <cell r="B445" t="str">
            <v>Sundry Debtors Local (Stockists)</v>
          </cell>
          <cell r="C445">
            <v>101253969.95</v>
          </cell>
        </row>
        <row r="446">
          <cell r="A446">
            <v>140099</v>
          </cell>
          <cell r="B446" t="str">
            <v>Accounts receivable-domestic, adjustmen</v>
          </cell>
          <cell r="C446">
            <v>0</v>
          </cell>
        </row>
        <row r="447">
          <cell r="A447">
            <v>140100</v>
          </cell>
          <cell r="B447" t="str">
            <v>Sundry Debtors Local (Customers)</v>
          </cell>
          <cell r="C447">
            <v>55027613.899999999</v>
          </cell>
        </row>
        <row r="448">
          <cell r="A448">
            <v>141000</v>
          </cell>
          <cell r="B448" t="str">
            <v>Debtors-foreign-Others</v>
          </cell>
          <cell r="C448">
            <v>6512344.9400000004</v>
          </cell>
        </row>
        <row r="449">
          <cell r="A449">
            <v>141099</v>
          </cell>
          <cell r="B449" t="str">
            <v>Accounts receivable-foreign, adjustment</v>
          </cell>
          <cell r="C449">
            <v>67072.929999999993</v>
          </cell>
        </row>
        <row r="450">
          <cell r="A450">
            <v>142000</v>
          </cell>
          <cell r="B450" t="str">
            <v>Allowance for doubtful accounts</v>
          </cell>
          <cell r="C450">
            <v>-3080000</v>
          </cell>
        </row>
        <row r="451">
          <cell r="A451">
            <v>143000</v>
          </cell>
          <cell r="B451" t="str">
            <v>Accounts payable-debit balances</v>
          </cell>
          <cell r="C451">
            <v>0</v>
          </cell>
        </row>
        <row r="452">
          <cell r="A452">
            <v>144000</v>
          </cell>
          <cell r="B452" t="str">
            <v>Sundry Debtors Foreign (Dystar Group)</v>
          </cell>
          <cell r="C452">
            <v>19173223.120000001</v>
          </cell>
        </row>
        <row r="453">
          <cell r="A453">
            <v>144099</v>
          </cell>
          <cell r="B453" t="str">
            <v>Accounts receivable-Group companies adj</v>
          </cell>
          <cell r="C453">
            <v>143742.62</v>
          </cell>
        </row>
        <row r="454">
          <cell r="A454">
            <v>151100</v>
          </cell>
          <cell r="B454" t="str">
            <v>Advances to Employees-Imprest</v>
          </cell>
          <cell r="C454">
            <v>177500</v>
          </cell>
        </row>
        <row r="455">
          <cell r="A455">
            <v>154000</v>
          </cell>
          <cell r="B455" t="str">
            <v>Modvat  RG23 Receivable (Thane)</v>
          </cell>
          <cell r="C455">
            <v>107898100.67</v>
          </cell>
        </row>
        <row r="456">
          <cell r="A456">
            <v>154001</v>
          </cell>
          <cell r="B456" t="str">
            <v>PLA-Thane</v>
          </cell>
          <cell r="C456">
            <v>57448.26</v>
          </cell>
        </row>
        <row r="457">
          <cell r="A457">
            <v>154009</v>
          </cell>
          <cell r="B457" t="str">
            <v>MODVAT-Rec-Thane-CCL</v>
          </cell>
          <cell r="C457">
            <v>-111216698.20999999</v>
          </cell>
        </row>
        <row r="458">
          <cell r="A458">
            <v>154010</v>
          </cell>
          <cell r="B458" t="str">
            <v>MODVAT-RG23 Rec-Roha</v>
          </cell>
          <cell r="C458">
            <v>73859972.989999995</v>
          </cell>
        </row>
        <row r="459">
          <cell r="A459">
            <v>154011</v>
          </cell>
          <cell r="B459" t="str">
            <v>PLA-Roha</v>
          </cell>
          <cell r="C459">
            <v>37720.42</v>
          </cell>
        </row>
        <row r="460">
          <cell r="A460">
            <v>154019</v>
          </cell>
          <cell r="B460" t="str">
            <v>MODVAT-Rec-Roha-CCL</v>
          </cell>
          <cell r="C460">
            <v>-87378160.349999994</v>
          </cell>
        </row>
        <row r="461">
          <cell r="A461">
            <v>154040</v>
          </cell>
          <cell r="B461" t="str">
            <v>Sales Tax Set Off on Purchases</v>
          </cell>
          <cell r="C461">
            <v>0</v>
          </cell>
        </row>
        <row r="462">
          <cell r="A462">
            <v>154100</v>
          </cell>
          <cell r="B462" t="str">
            <v>Duty Drawback-export</v>
          </cell>
          <cell r="C462">
            <v>2195643.39</v>
          </cell>
        </row>
        <row r="463">
          <cell r="A463">
            <v>154110</v>
          </cell>
          <cell r="B463" t="str">
            <v>Brandduty receivable</v>
          </cell>
          <cell r="C463">
            <v>4151554.94</v>
          </cell>
        </row>
        <row r="464">
          <cell r="A464">
            <v>154120</v>
          </cell>
          <cell r="B464" t="str">
            <v>DEPB Receivable</v>
          </cell>
          <cell r="C464">
            <v>3962056.93</v>
          </cell>
        </row>
        <row r="465">
          <cell r="A465">
            <v>154520</v>
          </cell>
          <cell r="B465" t="str">
            <v>TDS on Interest received - A. Y. 1999-2</v>
          </cell>
          <cell r="C465">
            <v>-2671</v>
          </cell>
        </row>
        <row r="466">
          <cell r="A466">
            <v>154530</v>
          </cell>
          <cell r="B466" t="str">
            <v>TDS on Interest received - A. Y. 2000-2</v>
          </cell>
          <cell r="C466">
            <v>0</v>
          </cell>
        </row>
        <row r="467">
          <cell r="A467">
            <v>154540</v>
          </cell>
          <cell r="B467" t="str">
            <v>TDS on Interest received - A. Y. 2001-2</v>
          </cell>
          <cell r="C467">
            <v>16613</v>
          </cell>
        </row>
        <row r="468">
          <cell r="A468">
            <v>154550</v>
          </cell>
          <cell r="B468" t="str">
            <v>TDS on Interest received - A. Y. 2002-2</v>
          </cell>
          <cell r="C468">
            <v>49686.36</v>
          </cell>
        </row>
        <row r="469">
          <cell r="A469">
            <v>154600</v>
          </cell>
          <cell r="B469" t="str">
            <v>Taxes Recoverable</v>
          </cell>
          <cell r="C469">
            <v>0.5</v>
          </cell>
        </row>
        <row r="470">
          <cell r="A470">
            <v>154730</v>
          </cell>
          <cell r="B470" t="str">
            <v>Advance Tax Corporate Tax.-A.Y.2000-200</v>
          </cell>
          <cell r="C470">
            <v>0</v>
          </cell>
        </row>
        <row r="471">
          <cell r="A471">
            <v>154740</v>
          </cell>
          <cell r="B471" t="str">
            <v>Advance Tax Corporate Tax.-A.Y.2001-200</v>
          </cell>
          <cell r="C471">
            <v>14000000</v>
          </cell>
        </row>
        <row r="472">
          <cell r="A472">
            <v>154750</v>
          </cell>
          <cell r="B472" t="str">
            <v>Advance Tax Corporate Tax.-A.Y.2002-200</v>
          </cell>
          <cell r="C472">
            <v>20432646</v>
          </cell>
        </row>
        <row r="473">
          <cell r="A473">
            <v>159000</v>
          </cell>
          <cell r="B473" t="str">
            <v>Down payments made on current assets</v>
          </cell>
          <cell r="C473">
            <v>437750</v>
          </cell>
        </row>
        <row r="474">
          <cell r="A474">
            <v>159300</v>
          </cell>
          <cell r="B474" t="str">
            <v>Insurance claim-Rec.</v>
          </cell>
          <cell r="C474">
            <v>0</v>
          </cell>
        </row>
        <row r="475">
          <cell r="A475">
            <v>159320</v>
          </cell>
          <cell r="B475" t="str">
            <v>Prepaid Expenses</v>
          </cell>
          <cell r="C475">
            <v>1799864</v>
          </cell>
        </row>
        <row r="476">
          <cell r="A476">
            <v>160000</v>
          </cell>
          <cell r="B476" t="str">
            <v>Sundry Creditors</v>
          </cell>
          <cell r="C476">
            <v>-29846561.170000002</v>
          </cell>
        </row>
        <row r="477">
          <cell r="A477">
            <v>160099</v>
          </cell>
          <cell r="B477" t="str">
            <v>Accounts payable-domestic, adjustments</v>
          </cell>
          <cell r="C477">
            <v>0</v>
          </cell>
        </row>
        <row r="478">
          <cell r="A478">
            <v>161000</v>
          </cell>
          <cell r="B478" t="str">
            <v>Sundry Creditors -Raw Materials(Foreign</v>
          </cell>
          <cell r="C478">
            <v>0</v>
          </cell>
        </row>
        <row r="479">
          <cell r="A479">
            <v>161099</v>
          </cell>
          <cell r="B479" t="str">
            <v>Accounts payable-foreign, adjustments</v>
          </cell>
          <cell r="C479">
            <v>0</v>
          </cell>
        </row>
        <row r="480">
          <cell r="A480">
            <v>163000</v>
          </cell>
          <cell r="B480" t="str">
            <v>Accounts receivable-credit balances</v>
          </cell>
          <cell r="C480">
            <v>0</v>
          </cell>
        </row>
        <row r="481">
          <cell r="A481">
            <v>164000</v>
          </cell>
          <cell r="B481" t="str">
            <v>Sundry Creditors - Import Of Finished G</v>
          </cell>
          <cell r="C481">
            <v>-50582427.049999997</v>
          </cell>
        </row>
        <row r="482">
          <cell r="A482">
            <v>164099</v>
          </cell>
          <cell r="B482" t="str">
            <v>Accounts payable-affiliated companies a</v>
          </cell>
          <cell r="C482">
            <v>-32774.65</v>
          </cell>
        </row>
        <row r="483">
          <cell r="A483">
            <v>170800</v>
          </cell>
          <cell r="B483" t="str">
            <v>Prov. personnel commitments- interest f</v>
          </cell>
          <cell r="C483">
            <v>-3703575</v>
          </cell>
        </row>
        <row r="484">
          <cell r="A484">
            <v>173100</v>
          </cell>
          <cell r="B484" t="str">
            <v>Interest Accrued but not Due-Term loans</v>
          </cell>
          <cell r="C484">
            <v>-673150.69</v>
          </cell>
        </row>
        <row r="485">
          <cell r="A485">
            <v>173300</v>
          </cell>
          <cell r="B485" t="str">
            <v>Interest Accrued but not Due-Foreign cu</v>
          </cell>
          <cell r="C485">
            <v>-484243.42</v>
          </cell>
        </row>
        <row r="486">
          <cell r="A486">
            <v>175500</v>
          </cell>
          <cell r="B486" t="str">
            <v>Sales Tax- Maharashtra</v>
          </cell>
          <cell r="C486">
            <v>-135944.9</v>
          </cell>
        </row>
        <row r="487">
          <cell r="A487">
            <v>175501</v>
          </cell>
          <cell r="B487" t="str">
            <v>Surcharge on Sales Tax - Maharashtra</v>
          </cell>
          <cell r="C487">
            <v>-38332.07</v>
          </cell>
        </row>
        <row r="488">
          <cell r="A488">
            <v>175502</v>
          </cell>
          <cell r="B488" t="str">
            <v>Turnover Tax - Maharashtra</v>
          </cell>
          <cell r="C488">
            <v>-99488.63</v>
          </cell>
        </row>
        <row r="489">
          <cell r="A489">
            <v>175505</v>
          </cell>
          <cell r="B489" t="str">
            <v>Sales Tax- BASF</v>
          </cell>
          <cell r="C489">
            <v>-20569.2</v>
          </cell>
        </row>
        <row r="490">
          <cell r="A490">
            <v>175506</v>
          </cell>
          <cell r="B490" t="str">
            <v>Sales Tax- BASF(outside Delhi Sales w.e</v>
          </cell>
          <cell r="C490">
            <v>-15647.84</v>
          </cell>
        </row>
        <row r="491">
          <cell r="A491">
            <v>175510</v>
          </cell>
          <cell r="B491" t="str">
            <v>Sales Tax- Tamil Nadu</v>
          </cell>
          <cell r="C491">
            <v>-906147.74</v>
          </cell>
        </row>
        <row r="492">
          <cell r="A492">
            <v>175530</v>
          </cell>
          <cell r="B492" t="str">
            <v>Sales Tax- Chandigarh</v>
          </cell>
          <cell r="C492">
            <v>-32257.09</v>
          </cell>
        </row>
        <row r="493">
          <cell r="A493">
            <v>175600</v>
          </cell>
          <cell r="B493" t="str">
            <v>Central Sales Tax - Maharashtra</v>
          </cell>
          <cell r="C493">
            <v>25823.65</v>
          </cell>
        </row>
        <row r="494">
          <cell r="A494">
            <v>175610</v>
          </cell>
          <cell r="B494" t="str">
            <v>Central Sales Tax- Tamil Nadu.</v>
          </cell>
          <cell r="C494">
            <v>-113018.18</v>
          </cell>
        </row>
        <row r="495">
          <cell r="A495">
            <v>175620</v>
          </cell>
          <cell r="B495" t="str">
            <v>Central Sales Tax- Delhi.</v>
          </cell>
          <cell r="C495">
            <v>-12770.3</v>
          </cell>
        </row>
        <row r="496">
          <cell r="A496">
            <v>175630</v>
          </cell>
          <cell r="B496" t="str">
            <v>Central Sales Tax-Chandigarh</v>
          </cell>
          <cell r="C496">
            <v>-16854.810000000001</v>
          </cell>
        </row>
        <row r="497">
          <cell r="A497">
            <v>177010</v>
          </cell>
          <cell r="B497" t="str">
            <v>T.D.S-Interest-194A</v>
          </cell>
          <cell r="C497">
            <v>13876.12</v>
          </cell>
        </row>
        <row r="498">
          <cell r="A498">
            <v>177020</v>
          </cell>
          <cell r="B498" t="str">
            <v>T.D.S-Contractors</v>
          </cell>
          <cell r="C498">
            <v>0</v>
          </cell>
        </row>
        <row r="499">
          <cell r="A499">
            <v>177040</v>
          </cell>
          <cell r="B499" t="str">
            <v>T.D.S Professionals</v>
          </cell>
          <cell r="C499">
            <v>-2295</v>
          </cell>
        </row>
        <row r="500">
          <cell r="A500">
            <v>177050</v>
          </cell>
          <cell r="B500" t="str">
            <v>T.D.S on Commission-194H</v>
          </cell>
          <cell r="C500">
            <v>-19753</v>
          </cell>
        </row>
        <row r="501">
          <cell r="A501">
            <v>177510</v>
          </cell>
          <cell r="B501" t="str">
            <v>Provident Fund Payable</v>
          </cell>
          <cell r="C501">
            <v>0</v>
          </cell>
        </row>
        <row r="502">
          <cell r="A502">
            <v>177520</v>
          </cell>
          <cell r="B502" t="str">
            <v>Professional Tax Payable</v>
          </cell>
          <cell r="C502">
            <v>0</v>
          </cell>
        </row>
        <row r="503">
          <cell r="A503">
            <v>178520</v>
          </cell>
          <cell r="B503" t="str">
            <v>Provision for Taxation- A.Y.2000-01</v>
          </cell>
          <cell r="C503">
            <v>-160000</v>
          </cell>
        </row>
        <row r="504">
          <cell r="A504">
            <v>178521</v>
          </cell>
          <cell r="B504" t="str">
            <v>Deferred Tax Liability 2000</v>
          </cell>
          <cell r="C504">
            <v>-972000</v>
          </cell>
        </row>
        <row r="505">
          <cell r="A505">
            <v>178530</v>
          </cell>
          <cell r="B505" t="str">
            <v>Provision for Taxation- A.Y.2001-02</v>
          </cell>
          <cell r="C505">
            <v>-16000000</v>
          </cell>
        </row>
        <row r="506">
          <cell r="A506">
            <v>178540</v>
          </cell>
          <cell r="B506" t="str">
            <v>Provision for Taxation- A.Y.2002-03</v>
          </cell>
          <cell r="C506">
            <v>-27845000</v>
          </cell>
        </row>
        <row r="507">
          <cell r="A507">
            <v>179100</v>
          </cell>
          <cell r="B507" t="str">
            <v>Other outstanding liabilities</v>
          </cell>
          <cell r="C507">
            <v>-5248396.28</v>
          </cell>
        </row>
        <row r="508">
          <cell r="A508">
            <v>191100</v>
          </cell>
          <cell r="B508" t="str">
            <v>GR/IR clearing-external procurement</v>
          </cell>
          <cell r="C508">
            <v>-1207663.68</v>
          </cell>
        </row>
        <row r="509">
          <cell r="A509">
            <v>192100</v>
          </cell>
          <cell r="B509" t="str">
            <v>Freight on Purchases - clearing</v>
          </cell>
          <cell r="C509">
            <v>-373553.19</v>
          </cell>
        </row>
        <row r="510">
          <cell r="A510">
            <v>192200</v>
          </cell>
          <cell r="B510" t="str">
            <v>Modvat Clearing Account - Than</v>
          </cell>
          <cell r="C510">
            <v>-107898100.67</v>
          </cell>
        </row>
        <row r="511">
          <cell r="A511">
            <v>192210</v>
          </cell>
          <cell r="B511" t="str">
            <v>Modvat Clearing Account -Roha</v>
          </cell>
          <cell r="C511">
            <v>-73859972.989999995</v>
          </cell>
        </row>
        <row r="512">
          <cell r="A512">
            <v>192299</v>
          </cell>
          <cell r="B512" t="str">
            <v>MODVAT Offset a/c</v>
          </cell>
          <cell r="C512">
            <v>195849728.44999999</v>
          </cell>
        </row>
        <row r="513">
          <cell r="A513">
            <v>192300</v>
          </cell>
          <cell r="B513" t="str">
            <v>Custom duty on RM Purchases - clearing</v>
          </cell>
          <cell r="C513">
            <v>-1081521.9099999999</v>
          </cell>
        </row>
        <row r="514">
          <cell r="A514">
            <v>192500</v>
          </cell>
          <cell r="B514" t="str">
            <v>Octori on Purchases - clearing</v>
          </cell>
          <cell r="C514">
            <v>92731.8</v>
          </cell>
        </row>
        <row r="515">
          <cell r="A515">
            <v>192600</v>
          </cell>
          <cell r="B515" t="str">
            <v>Clearing and Forwarding on Purchases -</v>
          </cell>
          <cell r="C515">
            <v>-317163.44</v>
          </cell>
        </row>
        <row r="516">
          <cell r="A516">
            <v>193200</v>
          </cell>
          <cell r="B516" t="str">
            <v>Octroi on Shipment- clearing</v>
          </cell>
          <cell r="C516">
            <v>-25207.88</v>
          </cell>
        </row>
        <row r="517">
          <cell r="A517">
            <v>197000</v>
          </cell>
          <cell r="B517" t="str">
            <v>Security deposit (customers)</v>
          </cell>
          <cell r="C517">
            <v>-20113082.77</v>
          </cell>
        </row>
        <row r="518">
          <cell r="A518">
            <v>300000</v>
          </cell>
          <cell r="B518" t="str">
            <v>InvetoryRaw material   (Local)</v>
          </cell>
          <cell r="C518">
            <v>19079341.030000001</v>
          </cell>
        </row>
        <row r="519">
          <cell r="A519">
            <v>300001</v>
          </cell>
          <cell r="B519" t="str">
            <v>Accumulated depreciation-raw materials</v>
          </cell>
          <cell r="C519">
            <v>-1198372</v>
          </cell>
        </row>
        <row r="520">
          <cell r="A520">
            <v>300010</v>
          </cell>
          <cell r="B520" t="str">
            <v>InvetoryRaw material Import</v>
          </cell>
          <cell r="C520">
            <v>1538723.8</v>
          </cell>
        </row>
        <row r="521">
          <cell r="A521">
            <v>305000</v>
          </cell>
          <cell r="B521" t="str">
            <v>Inventory Packaging material</v>
          </cell>
          <cell r="C521">
            <v>812081.92</v>
          </cell>
        </row>
        <row r="522">
          <cell r="A522">
            <v>790000</v>
          </cell>
          <cell r="B522" t="str">
            <v>Inventory Semifinished goods</v>
          </cell>
          <cell r="C522">
            <v>9936658.9900000002</v>
          </cell>
        </row>
        <row r="523">
          <cell r="A523">
            <v>790001</v>
          </cell>
          <cell r="B523" t="str">
            <v>Accumulated depreciation-semifinished g</v>
          </cell>
          <cell r="C523">
            <v>-457008</v>
          </cell>
        </row>
        <row r="524">
          <cell r="A524">
            <v>791000</v>
          </cell>
          <cell r="B524" t="str">
            <v>Work in process</v>
          </cell>
          <cell r="C524">
            <v>2791552.77</v>
          </cell>
        </row>
        <row r="525">
          <cell r="A525">
            <v>792000</v>
          </cell>
          <cell r="B525" t="str">
            <v>Inventory Finished goods</v>
          </cell>
          <cell r="C525">
            <v>50349071.509999998</v>
          </cell>
        </row>
        <row r="526">
          <cell r="A526">
            <v>792001</v>
          </cell>
          <cell r="B526" t="str">
            <v>Accumulated depreciation-finished goods</v>
          </cell>
          <cell r="C526">
            <v>-5996219.25</v>
          </cell>
        </row>
        <row r="527">
          <cell r="A527">
            <v>793010</v>
          </cell>
          <cell r="B527" t="str">
            <v>Inventories Trading Goods (Imported)</v>
          </cell>
          <cell r="C527">
            <v>18312655.719999999</v>
          </cell>
        </row>
        <row r="528">
          <cell r="A528">
            <v>793011</v>
          </cell>
          <cell r="B528" t="str">
            <v>Accumulated depreciation-Trading Goods</v>
          </cell>
          <cell r="C528">
            <v>-87656</v>
          </cell>
        </row>
        <row r="529">
          <cell r="A529">
            <v>793200</v>
          </cell>
          <cell r="B529" t="str">
            <v>Inventory Trading goods(BASF)</v>
          </cell>
          <cell r="C529">
            <v>3924064.62</v>
          </cell>
        </row>
        <row r="530">
          <cell r="A530">
            <v>793300</v>
          </cell>
          <cell r="B530" t="str">
            <v>Inventory Trading goods(Import) BASF/1</v>
          </cell>
          <cell r="C530">
            <v>6639641.25</v>
          </cell>
        </row>
        <row r="531">
          <cell r="A531">
            <v>793376</v>
          </cell>
          <cell r="B531" t="str">
            <v>Inventory Trading goods-in-transit</v>
          </cell>
          <cell r="C531">
            <v>22819071.449999999</v>
          </cell>
        </row>
        <row r="532">
          <cell r="A532">
            <v>900000</v>
          </cell>
          <cell r="B532" t="str">
            <v>Retained earnings</v>
          </cell>
          <cell r="C532">
            <v>0</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Settings"/>
      <sheetName val="SectList"/>
      <sheetName val="AcList"/>
      <sheetName val="DepList"/>
      <sheetName val="CurList"/>
      <sheetName val="SectTB"/>
      <sheetName val="SectCDTB"/>
      <sheetName val="AcTB"/>
      <sheetName val="AcCDTB"/>
      <sheetName val="Settings"/>
      <sheetName val="TB Scheme A"/>
      <sheetName val="TB Scheme B"/>
      <sheetName val="TB Scheme C"/>
      <sheetName val="TB Scheme D"/>
      <sheetName val="N1-Op bal check-2005"/>
      <sheetName val="N1-Op bal check-2006"/>
      <sheetName val="Check List"/>
      <sheetName val="History"/>
      <sheetName val="TB"/>
      <sheetName val="Data"/>
      <sheetName val="CFWorkings"/>
      <sheetName val="Cover"/>
      <sheetName val="Contents"/>
      <sheetName val="Information"/>
      <sheetName val="Director"/>
      <sheetName val="Responsibilities"/>
      <sheetName val="AuditX"/>
      <sheetName val="Audit"/>
      <sheetName val="Accountant"/>
      <sheetName val="CAReport"/>
      <sheetName val="PL"/>
      <sheetName val="RGL"/>
      <sheetName val="BS"/>
      <sheetName val="CF"/>
      <sheetName val="Notes"/>
      <sheetName val="DetailPL1"/>
      <sheetName val="DetailPL2"/>
      <sheetName val="AbbCover"/>
      <sheetName val="AbbAudit"/>
      <sheetName val="AbbBS"/>
      <sheetName val="AbbNotes"/>
      <sheetName val="Library"/>
      <sheetName val="Workings"/>
      <sheetName val="VT_Results"/>
    </sheetNames>
    <sheetDataSet>
      <sheetData sheetId="0"/>
      <sheetData sheetId="1"/>
      <sheetData sheetId="2"/>
      <sheetData sheetId="3"/>
      <sheetData sheetId="4"/>
      <sheetData sheetId="5"/>
      <sheetData sheetId="6"/>
      <sheetData sheetId="7"/>
      <sheetData sheetId="8"/>
      <sheetData sheetId="9" refreshError="1">
        <row r="14">
          <cell r="C14" t="b">
            <v>1</v>
          </cell>
        </row>
        <row r="25">
          <cell r="C25" t="b">
            <v>0</v>
          </cell>
        </row>
        <row r="27">
          <cell r="C27" t="b">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sheetData sheetId="37"/>
      <sheetData sheetId="38"/>
      <sheetData sheetId="39" refreshError="1">
        <row r="31">
          <cell r="E31">
            <v>976970</v>
          </cell>
        </row>
        <row r="40">
          <cell r="E40">
            <v>976970</v>
          </cell>
        </row>
      </sheetData>
      <sheetData sheetId="40"/>
      <sheetData sheetId="41"/>
      <sheetData sheetId="42" refreshError="1"/>
      <sheetData sheetId="4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Settings"/>
      <sheetName val="SectList"/>
      <sheetName val="AcList"/>
      <sheetName val="DepList"/>
      <sheetName val="CurList"/>
      <sheetName val="SectTB"/>
      <sheetName val="SectCDTB"/>
      <sheetName val="AcTB"/>
      <sheetName val="AcCDTB"/>
      <sheetName val="Settings"/>
      <sheetName val="TB Scheme A"/>
      <sheetName val="TB Scheme B"/>
      <sheetName val="TB Scheme C"/>
      <sheetName val="TB Scheme D"/>
      <sheetName val="N1-Op bal check-2005"/>
      <sheetName val="N1-Op bal check-2006"/>
      <sheetName val="Check List"/>
      <sheetName val="History"/>
      <sheetName val="TB"/>
      <sheetName val="Data"/>
      <sheetName val="CFWorkings"/>
      <sheetName val="Cover"/>
      <sheetName val="Contents"/>
      <sheetName val="Information"/>
      <sheetName val="Director"/>
      <sheetName val="Responsibilities"/>
      <sheetName val="AuditX"/>
      <sheetName val="Audit"/>
      <sheetName val="Accountant"/>
      <sheetName val="CAReport"/>
      <sheetName val="PL"/>
      <sheetName val="RGL"/>
      <sheetName val="BS"/>
      <sheetName val="CF"/>
      <sheetName val="Notes"/>
      <sheetName val="DetailPL1"/>
      <sheetName val="DetailPL2"/>
      <sheetName val="AbbCover"/>
      <sheetName val="AbbAudit"/>
      <sheetName val="AbbBS"/>
      <sheetName val="AbbNotes"/>
      <sheetName val="Library"/>
      <sheetName val="Workings"/>
      <sheetName val="VT_Results"/>
    </sheetNames>
    <sheetDataSet>
      <sheetData sheetId="0"/>
      <sheetData sheetId="1"/>
      <sheetData sheetId="2"/>
      <sheetData sheetId="3"/>
      <sheetData sheetId="4"/>
      <sheetData sheetId="5"/>
      <sheetData sheetId="6"/>
      <sheetData sheetId="7"/>
      <sheetData sheetId="8"/>
      <sheetData sheetId="9" refreshError="1">
        <row r="16">
          <cell r="C16">
            <v>12</v>
          </cell>
        </row>
        <row r="57">
          <cell r="C57">
            <v>38807</v>
          </cell>
        </row>
        <row r="58">
          <cell r="C58">
            <v>38442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32">
          <cell r="G32">
            <v>355127</v>
          </cell>
          <cell r="I32">
            <v>512350</v>
          </cell>
        </row>
      </sheetData>
      <sheetData sheetId="31"/>
      <sheetData sheetId="32" refreshError="1">
        <row r="31">
          <cell r="E31">
            <v>976970</v>
          </cell>
          <cell r="H31">
            <v>662853</v>
          </cell>
        </row>
        <row r="40">
          <cell r="E40">
            <v>976970</v>
          </cell>
          <cell r="H40">
            <v>662853</v>
          </cell>
        </row>
      </sheetData>
      <sheetData sheetId="33" refreshError="1">
        <row r="40">
          <cell r="E40">
            <v>115643</v>
          </cell>
          <cell r="G40">
            <v>383309</v>
          </cell>
        </row>
        <row r="46">
          <cell r="E46">
            <v>115643</v>
          </cell>
          <cell r="G46">
            <v>383309</v>
          </cell>
        </row>
      </sheetData>
      <sheetData sheetId="34" refreshError="1">
        <row r="226">
          <cell r="G226">
            <v>37896</v>
          </cell>
        </row>
        <row r="229">
          <cell r="I229">
            <v>37896</v>
          </cell>
        </row>
        <row r="255">
          <cell r="G255">
            <v>0</v>
          </cell>
        </row>
        <row r="259">
          <cell r="I259">
            <v>0</v>
          </cell>
        </row>
        <row r="265">
          <cell r="G265">
            <v>0</v>
          </cell>
        </row>
        <row r="268">
          <cell r="I268">
            <v>0</v>
          </cell>
        </row>
        <row r="274">
          <cell r="G274">
            <v>0</v>
          </cell>
        </row>
        <row r="277">
          <cell r="I277">
            <v>0</v>
          </cell>
        </row>
        <row r="283">
          <cell r="G283">
            <v>662852</v>
          </cell>
        </row>
        <row r="288">
          <cell r="I288">
            <v>662852</v>
          </cell>
        </row>
      </sheetData>
      <sheetData sheetId="35" refreshError="1">
        <row r="26">
          <cell r="C26">
            <v>355127</v>
          </cell>
          <cell r="E26">
            <v>512350</v>
          </cell>
        </row>
      </sheetData>
      <sheetData sheetId="36"/>
      <sheetData sheetId="37"/>
      <sheetData sheetId="38"/>
      <sheetData sheetId="39" refreshError="1">
        <row r="31">
          <cell r="H31">
            <v>662853</v>
          </cell>
        </row>
        <row r="40">
          <cell r="H40">
            <v>662853</v>
          </cell>
        </row>
      </sheetData>
      <sheetData sheetId="40"/>
      <sheetData sheetId="41"/>
      <sheetData sheetId="42" refreshError="1">
        <row r="21">
          <cell r="F21">
            <v>0</v>
          </cell>
        </row>
        <row r="23">
          <cell r="F23">
            <v>0</v>
          </cell>
        </row>
        <row r="47">
          <cell r="H47">
            <v>459146</v>
          </cell>
        </row>
        <row r="67">
          <cell r="H67">
            <v>459146</v>
          </cell>
        </row>
        <row r="78">
          <cell r="H78">
            <v>0</v>
          </cell>
        </row>
        <row r="95">
          <cell r="H95">
            <v>0</v>
          </cell>
        </row>
      </sheetData>
      <sheetData sheetId="4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Settings"/>
      <sheetName val="SectList"/>
      <sheetName val="AcList"/>
      <sheetName val="DepList"/>
      <sheetName val="CurList"/>
      <sheetName val="SectTB"/>
      <sheetName val="SectCDTB"/>
      <sheetName val="AcTB"/>
      <sheetName val="AcCDTB"/>
      <sheetName val="Settings"/>
      <sheetName val="TB Scheme A"/>
      <sheetName val="TB Scheme B"/>
      <sheetName val="TB Scheme C"/>
      <sheetName val="TB Scheme D"/>
      <sheetName val="N1-Op bal check-2005"/>
      <sheetName val="N1-Op bal check-2006"/>
      <sheetName val="Check List"/>
      <sheetName val="History"/>
      <sheetName val="TB"/>
      <sheetName val="Data"/>
      <sheetName val="CFWorkings"/>
      <sheetName val="Cover"/>
      <sheetName val="Contents"/>
      <sheetName val="Information"/>
      <sheetName val="Director"/>
      <sheetName val="Responsibilities"/>
      <sheetName val="AuditX"/>
      <sheetName val="Audit"/>
      <sheetName val="Accountant"/>
      <sheetName val="CAReport"/>
      <sheetName val="PL"/>
      <sheetName val="RGL"/>
      <sheetName val="BS"/>
      <sheetName val="CF"/>
      <sheetName val="Notes"/>
      <sheetName val="DetailPL1"/>
      <sheetName val="DetailPL2"/>
      <sheetName val="AbbCover"/>
      <sheetName val="AbbAudit"/>
      <sheetName val="AbbBS"/>
      <sheetName val="AbbNotes"/>
      <sheetName val="Library"/>
      <sheetName val="Workings"/>
      <sheetName val="VT_Results"/>
    </sheetNames>
    <sheetDataSet>
      <sheetData sheetId="0"/>
      <sheetData sheetId="1"/>
      <sheetData sheetId="2"/>
      <sheetData sheetId="3"/>
      <sheetData sheetId="4"/>
      <sheetData sheetId="5"/>
      <sheetData sheetId="6"/>
      <sheetData sheetId="7"/>
      <sheetData sheetId="8"/>
      <sheetData sheetId="9" refreshError="1">
        <row r="16">
          <cell r="C16">
            <v>12</v>
          </cell>
        </row>
        <row r="57">
          <cell r="C57">
            <v>38807</v>
          </cell>
        </row>
        <row r="58">
          <cell r="C58">
            <v>38442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32">
          <cell r="G32">
            <v>355127</v>
          </cell>
          <cell r="I32">
            <v>512350</v>
          </cell>
        </row>
      </sheetData>
      <sheetData sheetId="31"/>
      <sheetData sheetId="32" refreshError="1">
        <row r="31">
          <cell r="E31">
            <v>976970</v>
          </cell>
          <cell r="H31">
            <v>662853</v>
          </cell>
        </row>
        <row r="40">
          <cell r="E40">
            <v>976970</v>
          </cell>
          <cell r="H40">
            <v>662853</v>
          </cell>
        </row>
      </sheetData>
      <sheetData sheetId="33" refreshError="1">
        <row r="40">
          <cell r="E40">
            <v>115643</v>
          </cell>
          <cell r="G40">
            <v>383309</v>
          </cell>
        </row>
        <row r="46">
          <cell r="E46">
            <v>115643</v>
          </cell>
          <cell r="G46">
            <v>383309</v>
          </cell>
        </row>
      </sheetData>
      <sheetData sheetId="34" refreshError="1">
        <row r="226">
          <cell r="G226">
            <v>37896</v>
          </cell>
        </row>
        <row r="229">
          <cell r="I229">
            <v>37896</v>
          </cell>
        </row>
        <row r="255">
          <cell r="G255">
            <v>0</v>
          </cell>
        </row>
        <row r="259">
          <cell r="I259">
            <v>0</v>
          </cell>
        </row>
        <row r="265">
          <cell r="G265">
            <v>0</v>
          </cell>
        </row>
        <row r="268">
          <cell r="I268">
            <v>0</v>
          </cell>
        </row>
        <row r="274">
          <cell r="G274">
            <v>0</v>
          </cell>
        </row>
        <row r="277">
          <cell r="I277">
            <v>0</v>
          </cell>
        </row>
        <row r="283">
          <cell r="G283">
            <v>662852</v>
          </cell>
        </row>
        <row r="288">
          <cell r="I288">
            <v>662852</v>
          </cell>
        </row>
      </sheetData>
      <sheetData sheetId="35" refreshError="1">
        <row r="26">
          <cell r="C26">
            <v>355127</v>
          </cell>
          <cell r="E26">
            <v>512350</v>
          </cell>
        </row>
      </sheetData>
      <sheetData sheetId="36"/>
      <sheetData sheetId="37"/>
      <sheetData sheetId="38"/>
      <sheetData sheetId="39" refreshError="1">
        <row r="31">
          <cell r="H31">
            <v>662853</v>
          </cell>
        </row>
        <row r="40">
          <cell r="H40">
            <v>662853</v>
          </cell>
        </row>
      </sheetData>
      <sheetData sheetId="40"/>
      <sheetData sheetId="41"/>
      <sheetData sheetId="42" refreshError="1">
        <row r="21">
          <cell r="F21">
            <v>0</v>
          </cell>
        </row>
        <row r="23">
          <cell r="F23">
            <v>0</v>
          </cell>
        </row>
        <row r="47">
          <cell r="H47">
            <v>459146</v>
          </cell>
        </row>
        <row r="67">
          <cell r="H67">
            <v>459146</v>
          </cell>
        </row>
        <row r="78">
          <cell r="H78">
            <v>0</v>
          </cell>
        </row>
        <row r="95">
          <cell r="H95">
            <v>0</v>
          </cell>
        </row>
      </sheetData>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ding"/>
      <sheetName val="Diff. Accounts"/>
      <sheetName val="BS&amp;PLA"/>
      <sheetName val="suppliers"/>
      <sheetName val="nav 05 06"/>
      <sheetName val="NRP02"/>
      <sheetName val="NRP 01"/>
      <sheetName val="Def. Tax"/>
      <sheetName val="FBT"/>
      <sheetName val="Annexure II (FBT)"/>
      <sheetName val="3CD "/>
      <sheetName val="TB"/>
      <sheetName val="BS&amp;PLA "/>
      <sheetName val="COMP. "/>
      <sheetName val="F.goods"/>
      <sheetName val="Grey Stock"/>
      <sheetName val="Stock working"/>
      <sheetName val="Monthwise"/>
      <sheetName val="Manuf. grey"/>
      <sheetName val="Yarn purchased"/>
      <sheetName val="Co. Dep."/>
      <sheetName val="ANN-B"/>
      <sheetName val="IT- DEP"/>
      <sheetName val="ANN-C"/>
      <sheetName val="ANN-D"/>
      <sheetName val="ANN-E"/>
      <sheetName val="unsecured"/>
      <sheetName val="ANN-F"/>
      <sheetName val="Sheet1"/>
      <sheetName val="ANN-G"/>
      <sheetName val="Debtors"/>
      <sheetName val="creditors"/>
      <sheetName val="Diff__Accounts1"/>
      <sheetName val="nav_05_061"/>
      <sheetName val="NRP_011"/>
      <sheetName val="Def__Tax1"/>
      <sheetName val="Annexure_II_(FBT)1"/>
      <sheetName val="3CD_1"/>
      <sheetName val="BS&amp;PLA_1"/>
      <sheetName val="COMP__1"/>
      <sheetName val="F_goods1"/>
      <sheetName val="Grey_Stock1"/>
      <sheetName val="Stock_working1"/>
      <sheetName val="Manuf__grey1"/>
      <sheetName val="Yarn_purchased1"/>
      <sheetName val="Co__Dep_1"/>
      <sheetName val="IT-_DEP1"/>
      <sheetName val="Diff__Accounts"/>
      <sheetName val="nav_05_06"/>
      <sheetName val="NRP_01"/>
      <sheetName val="Def__Tax"/>
      <sheetName val="Annexure_II_(FBT)"/>
      <sheetName val="3CD_"/>
      <sheetName val="BS&amp;PLA_"/>
      <sheetName val="COMP__"/>
      <sheetName val="F_goods"/>
      <sheetName val="Grey_Stock"/>
      <sheetName val="Stock_working"/>
      <sheetName val="Manuf__grey"/>
      <sheetName val="Yarn_purchased"/>
      <sheetName val="Co__Dep_"/>
      <sheetName val="IT-_DEP"/>
      <sheetName val="Diff__Accounts2"/>
      <sheetName val="nav_05_062"/>
      <sheetName val="NRP_012"/>
      <sheetName val="Def__Tax2"/>
      <sheetName val="Annexure_II_(FBT)2"/>
      <sheetName val="3CD_2"/>
      <sheetName val="BS&amp;PLA_2"/>
      <sheetName val="COMP__2"/>
      <sheetName val="F_goods2"/>
      <sheetName val="Grey_Stock2"/>
      <sheetName val="Stock_working2"/>
      <sheetName val="Manuf__grey2"/>
      <sheetName val="Yarn_purchased2"/>
      <sheetName val="Co__Dep_2"/>
      <sheetName val="IT-_DE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Settings"/>
      <sheetName val="SectList"/>
      <sheetName val="AcList"/>
      <sheetName val="DepList"/>
      <sheetName val="CurList"/>
      <sheetName val="SectTB"/>
      <sheetName val="SectCDTB"/>
      <sheetName val="AcTB"/>
      <sheetName val="AcCDTB"/>
      <sheetName val="Settings"/>
      <sheetName val="TB Scheme A"/>
      <sheetName val="TB Scheme B"/>
      <sheetName val="TB Scheme C"/>
      <sheetName val="TB Scheme D"/>
      <sheetName val="N1-Op bal check-2005"/>
      <sheetName val="N1-Op bal check-2006"/>
      <sheetName val="Check List"/>
      <sheetName val="History"/>
      <sheetName val="TB"/>
      <sheetName val="Data"/>
      <sheetName val="CFWorkings"/>
      <sheetName val="Cover"/>
      <sheetName val="Contents"/>
      <sheetName val="Information"/>
      <sheetName val="Director"/>
      <sheetName val="Responsibilities"/>
      <sheetName val="AuditX"/>
      <sheetName val="Audit"/>
      <sheetName val="Accountant"/>
      <sheetName val="CAReport"/>
      <sheetName val="PL"/>
      <sheetName val="RGL"/>
      <sheetName val="BS"/>
      <sheetName val="CF"/>
      <sheetName val="Notes"/>
      <sheetName val="DetailPL1"/>
      <sheetName val="DetailPL2"/>
      <sheetName val="AbbCover"/>
      <sheetName val="AbbAudit"/>
      <sheetName val="AbbBS"/>
      <sheetName val="AbbNotes"/>
      <sheetName val="Library"/>
      <sheetName val="Workings"/>
      <sheetName val="VT_Results"/>
    </sheetNames>
    <sheetDataSet>
      <sheetData sheetId="0"/>
      <sheetData sheetId="1"/>
      <sheetData sheetId="2"/>
      <sheetData sheetId="3"/>
      <sheetData sheetId="4"/>
      <sheetData sheetId="5"/>
      <sheetData sheetId="6"/>
      <sheetData sheetId="7"/>
      <sheetData sheetId="8"/>
      <sheetData sheetId="9" refreshError="1">
        <row r="16">
          <cell r="C16">
            <v>12</v>
          </cell>
        </row>
        <row r="57">
          <cell r="C57">
            <v>38807</v>
          </cell>
        </row>
        <row r="58">
          <cell r="C58">
            <v>38442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32">
          <cell r="G32">
            <v>355127</v>
          </cell>
          <cell r="I32">
            <v>512350</v>
          </cell>
        </row>
      </sheetData>
      <sheetData sheetId="31"/>
      <sheetData sheetId="32" refreshError="1">
        <row r="31">
          <cell r="E31">
            <v>976970</v>
          </cell>
          <cell r="H31">
            <v>662853</v>
          </cell>
        </row>
        <row r="40">
          <cell r="E40">
            <v>976970</v>
          </cell>
          <cell r="H40">
            <v>662853</v>
          </cell>
        </row>
      </sheetData>
      <sheetData sheetId="33" refreshError="1">
        <row r="40">
          <cell r="E40">
            <v>115643</v>
          </cell>
          <cell r="G40">
            <v>383309</v>
          </cell>
        </row>
        <row r="46">
          <cell r="E46">
            <v>115643</v>
          </cell>
          <cell r="G46">
            <v>383309</v>
          </cell>
        </row>
      </sheetData>
      <sheetData sheetId="34" refreshError="1">
        <row r="226">
          <cell r="G226">
            <v>37896</v>
          </cell>
        </row>
        <row r="229">
          <cell r="I229">
            <v>37896</v>
          </cell>
        </row>
        <row r="255">
          <cell r="G255">
            <v>0</v>
          </cell>
        </row>
        <row r="259">
          <cell r="I259">
            <v>0</v>
          </cell>
        </row>
        <row r="265">
          <cell r="G265">
            <v>0</v>
          </cell>
        </row>
        <row r="268">
          <cell r="I268">
            <v>0</v>
          </cell>
        </row>
        <row r="274">
          <cell r="G274">
            <v>0</v>
          </cell>
        </row>
        <row r="277">
          <cell r="I277">
            <v>0</v>
          </cell>
        </row>
        <row r="283">
          <cell r="G283">
            <v>662852</v>
          </cell>
        </row>
        <row r="288">
          <cell r="I288">
            <v>662852</v>
          </cell>
        </row>
      </sheetData>
      <sheetData sheetId="35" refreshError="1">
        <row r="26">
          <cell r="C26">
            <v>355127</v>
          </cell>
          <cell r="E26">
            <v>512350</v>
          </cell>
        </row>
      </sheetData>
      <sheetData sheetId="36"/>
      <sheetData sheetId="37"/>
      <sheetData sheetId="38"/>
      <sheetData sheetId="39" refreshError="1">
        <row r="31">
          <cell r="H31">
            <v>662853</v>
          </cell>
        </row>
        <row r="40">
          <cell r="H40">
            <v>662853</v>
          </cell>
        </row>
      </sheetData>
      <sheetData sheetId="40"/>
      <sheetData sheetId="41"/>
      <sheetData sheetId="42" refreshError="1">
        <row r="21">
          <cell r="F21">
            <v>0</v>
          </cell>
        </row>
        <row r="23">
          <cell r="F23">
            <v>0</v>
          </cell>
        </row>
        <row r="47">
          <cell r="H47">
            <v>459146</v>
          </cell>
        </row>
        <row r="67">
          <cell r="H67">
            <v>459146</v>
          </cell>
        </row>
        <row r="78">
          <cell r="H78">
            <v>0</v>
          </cell>
        </row>
        <row r="95">
          <cell r="H95">
            <v>0</v>
          </cell>
        </row>
      </sheetData>
      <sheetData sheetId="4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 val="PC1 (M1 contd)"/>
      <sheetName val="PC2 (M2 contd)"/>
      <sheetName val="PC3 (M3 contd)"/>
      <sheetName val="PC4 (M4 contd)"/>
      <sheetName val="PC7 (M7 contd)"/>
      <sheetName val="PC9 (M9 contd)"/>
      <sheetName val="PC11 (M11 contd)"/>
      <sheetName val="Petty Cash Totals"/>
      <sheetName val="VAT Return Jun 04"/>
      <sheetName val="VAT Return Sep 04"/>
      <sheetName val="VAT Return Dec 04"/>
      <sheetName val="Sales Day Book 2004"/>
      <sheetName val="ILO TOR 0001,2"/>
      <sheetName val="Company_information1"/>
      <sheetName val="Bank_summary1"/>
      <sheetName val="VAT_return1"/>
      <sheetName val="IR35_Calc_Instructions1"/>
      <sheetName val="IR35_Calculator_2003_-_041"/>
      <sheetName val="PC1_(M1_contd)1"/>
      <sheetName val="PC2_(M2_contd)1"/>
      <sheetName val="PC3_(M3_contd)1"/>
      <sheetName val="PC4_(M4_contd)1"/>
      <sheetName val="PC7_(M7_contd)1"/>
      <sheetName val="PC9_(M9_contd)1"/>
      <sheetName val="PC11_(M11_contd)1"/>
      <sheetName val="Petty_Cash_Totals1"/>
      <sheetName val="VAT_Return_Jun_041"/>
      <sheetName val="VAT_Return_Sep_041"/>
      <sheetName val="VAT_Return_Dec_041"/>
      <sheetName val="Sales_Day_Book_20041"/>
      <sheetName val="ILO_TOR_0001,21"/>
      <sheetName val="Company_information"/>
      <sheetName val="Bank_summary"/>
      <sheetName val="VAT_return"/>
      <sheetName val="IR35_Calc_Instructions"/>
      <sheetName val="IR35_Calculator_2003_-_04"/>
      <sheetName val="PC1_(M1_contd)"/>
      <sheetName val="PC2_(M2_contd)"/>
      <sheetName val="PC3_(M3_contd)"/>
      <sheetName val="PC4_(M4_contd)"/>
      <sheetName val="PC7_(M7_contd)"/>
      <sheetName val="PC9_(M9_contd)"/>
      <sheetName val="PC11_(M11_contd)"/>
      <sheetName val="Petty_Cash_Totals"/>
      <sheetName val="VAT_Return_Jun_04"/>
      <sheetName val="VAT_Return_Sep_04"/>
      <sheetName val="VAT_Return_Dec_04"/>
      <sheetName val="Sales_Day_Book_2004"/>
      <sheetName val="ILO_TOR_0001,2"/>
      <sheetName val="Company_information2"/>
      <sheetName val="Bank_summary2"/>
      <sheetName val="VAT_return2"/>
      <sheetName val="IR35_Calc_Instructions2"/>
      <sheetName val="IR35_Calculator_2003_-_042"/>
      <sheetName val="PC1_(M1_contd)2"/>
      <sheetName val="PC2_(M2_contd)2"/>
      <sheetName val="PC3_(M3_contd)2"/>
      <sheetName val="PC4_(M4_contd)2"/>
      <sheetName val="PC7_(M7_contd)2"/>
      <sheetName val="PC9_(M9_contd)2"/>
      <sheetName val="PC11_(M11_contd)2"/>
      <sheetName val="Petty_Cash_Totals2"/>
      <sheetName val="VAT_Return_Jun_042"/>
      <sheetName val="VAT_Return_Sep_042"/>
      <sheetName val="VAT_Return_Dec_042"/>
      <sheetName val="Sales_Day_Book_20042"/>
      <sheetName val="ILO_TOR_0001,22"/>
    </sheetNames>
    <sheetDataSet>
      <sheetData sheetId="0">
        <row r="7">
          <cell r="H7">
            <v>101.56</v>
          </cell>
        </row>
      </sheetData>
      <sheetData sheetId="1">
        <row r="73">
          <cell r="C73" t="str">
            <v>1 January 2004</v>
          </cell>
        </row>
      </sheetData>
      <sheetData sheetId="2"/>
      <sheetData sheetId="3">
        <row r="5">
          <cell r="D5" t="str">
            <v>Cassel Consulting Limited</v>
          </cell>
        </row>
      </sheetData>
      <sheetData sheetId="4">
        <row r="3">
          <cell r="C3" t="str">
            <v>January 2004</v>
          </cell>
        </row>
        <row r="7">
          <cell r="H7">
            <v>0</v>
          </cell>
          <cell r="I7" t="str">
            <v>Interest received</v>
          </cell>
        </row>
        <row r="8">
          <cell r="H8">
            <v>0</v>
          </cell>
          <cell r="I8" t="str">
            <v>Interest received</v>
          </cell>
        </row>
        <row r="9">
          <cell r="H9">
            <v>0</v>
          </cell>
          <cell r="I9" t="str">
            <v>Non-EC sales</v>
          </cell>
        </row>
        <row r="10">
          <cell r="H10">
            <v>0</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5">
        <row r="3">
          <cell r="C3" t="str">
            <v>February 2004</v>
          </cell>
        </row>
        <row r="7">
          <cell r="H7">
            <v>0</v>
          </cell>
          <cell r="I7" t="str">
            <v>Non-EC sales</v>
          </cell>
        </row>
        <row r="8">
          <cell r="H8">
            <v>0</v>
          </cell>
          <cell r="I8" t="str">
            <v>Bank and credit card charges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6">
        <row r="3">
          <cell r="C3" t="str">
            <v>March 2004</v>
          </cell>
        </row>
        <row r="7">
          <cell r="H7">
            <v>0</v>
          </cell>
          <cell r="I7" t="str">
            <v>Bank and credit card charges</v>
          </cell>
        </row>
        <row r="8">
          <cell r="H8">
            <v>0</v>
          </cell>
          <cell r="I8" t="str">
            <v>Interest received</v>
          </cell>
        </row>
        <row r="9">
          <cell r="H9">
            <v>0</v>
          </cell>
          <cell r="I9" t="str">
            <v>Sundry receipts</v>
          </cell>
        </row>
        <row r="10">
          <cell r="H10">
            <v>0</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7">
        <row r="3">
          <cell r="C3" t="str">
            <v>April 2004</v>
          </cell>
        </row>
        <row r="7">
          <cell r="H7">
            <v>8670.1299999999992</v>
          </cell>
          <cell r="I7" t="str">
            <v>Non-EC sales</v>
          </cell>
        </row>
        <row r="8">
          <cell r="H8">
            <v>0</v>
          </cell>
          <cell r="I8" t="str">
            <v>Bank and credit card charges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8670.1299999999992</v>
          </cell>
          <cell r="G47">
            <v>0</v>
          </cell>
        </row>
      </sheetData>
      <sheetData sheetId="8">
        <row r="3">
          <cell r="C3" t="str">
            <v>May 2004</v>
          </cell>
        </row>
        <row r="7">
          <cell r="H7">
            <v>11670.31</v>
          </cell>
          <cell r="I7" t="str">
            <v>Non-EC sales</v>
          </cell>
        </row>
        <row r="8">
          <cell r="H8">
            <v>4.57</v>
          </cell>
          <cell r="I8" t="str">
            <v>Interest received</v>
          </cell>
        </row>
        <row r="9">
          <cell r="H9">
            <v>411.25</v>
          </cell>
          <cell r="I9" t="str">
            <v>Sundry receipts</v>
          </cell>
        </row>
        <row r="10">
          <cell r="H10">
            <v>11257.62</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23343.75</v>
          </cell>
          <cell r="G47">
            <v>0</v>
          </cell>
        </row>
      </sheetData>
      <sheetData sheetId="9">
        <row r="3">
          <cell r="C3" t="str">
            <v>June 2004</v>
          </cell>
        </row>
        <row r="7">
          <cell r="H7">
            <v>26.71</v>
          </cell>
          <cell r="I7" t="str">
            <v>Interest received</v>
          </cell>
        </row>
        <row r="8">
          <cell r="H8">
            <v>7357.99</v>
          </cell>
          <cell r="I8" t="str">
            <v>Non-EC sales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7384.7</v>
          </cell>
          <cell r="G47">
            <v>0</v>
          </cell>
        </row>
      </sheetData>
      <sheetData sheetId="10">
        <row r="3">
          <cell r="C3" t="str">
            <v>July 2004</v>
          </cell>
        </row>
        <row r="7">
          <cell r="H7">
            <v>15.78</v>
          </cell>
          <cell r="I7" t="str">
            <v>Interest received</v>
          </cell>
        </row>
        <row r="8">
          <cell r="H8">
            <v>15.99</v>
          </cell>
          <cell r="I8" t="str">
            <v>Interest received</v>
          </cell>
        </row>
        <row r="9">
          <cell r="H9">
            <v>7895.38</v>
          </cell>
          <cell r="I9" t="str">
            <v>Non-EC sales</v>
          </cell>
        </row>
        <row r="10">
          <cell r="H10">
            <v>20</v>
          </cell>
          <cell r="I10" t="str">
            <v>Sundry receipts</v>
          </cell>
        </row>
        <row r="11">
          <cell r="H11">
            <v>20</v>
          </cell>
          <cell r="I11" t="str">
            <v>Sundry receipts</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7967.1500000000005</v>
          </cell>
          <cell r="G47">
            <v>0</v>
          </cell>
        </row>
      </sheetData>
      <sheetData sheetId="11">
        <row r="3">
          <cell r="C3" t="str">
            <v>August 2004</v>
          </cell>
        </row>
        <row r="7">
          <cell r="H7">
            <v>21.93</v>
          </cell>
          <cell r="I7" t="str">
            <v>Interest received</v>
          </cell>
        </row>
        <row r="8">
          <cell r="H8">
            <v>13021.37</v>
          </cell>
          <cell r="I8" t="str">
            <v>Non-EC sales</v>
          </cell>
        </row>
        <row r="9">
          <cell r="H9">
            <v>17123.060000000001</v>
          </cell>
          <cell r="I9" t="str">
            <v>Non-EC sales</v>
          </cell>
        </row>
        <row r="10">
          <cell r="H10">
            <v>565.91</v>
          </cell>
          <cell r="I10" t="str">
            <v>Sundry receipts</v>
          </cell>
        </row>
        <row r="11">
          <cell r="H11">
            <v>0</v>
          </cell>
          <cell r="I11" t="str">
            <v>Legal and professional fees</v>
          </cell>
        </row>
        <row r="12">
          <cell r="H12">
            <v>0</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30732.27</v>
          </cell>
          <cell r="G47">
            <v>0</v>
          </cell>
        </row>
      </sheetData>
      <sheetData sheetId="12">
        <row r="3">
          <cell r="C3" t="str">
            <v>September 2004</v>
          </cell>
        </row>
        <row r="7">
          <cell r="H7">
            <v>2.86</v>
          </cell>
          <cell r="I7" t="str">
            <v>Interest received</v>
          </cell>
        </row>
        <row r="8">
          <cell r="H8">
            <v>47.93</v>
          </cell>
          <cell r="I8" t="str">
            <v>Interest received</v>
          </cell>
        </row>
        <row r="9">
          <cell r="H9">
            <v>6572.19</v>
          </cell>
          <cell r="I9" t="str">
            <v>Non-EC sales</v>
          </cell>
        </row>
        <row r="10">
          <cell r="H10">
            <v>0</v>
          </cell>
          <cell r="I10" t="str">
            <v>Travel, accommodation and subsistence</v>
          </cell>
        </row>
        <row r="11">
          <cell r="H11">
            <v>0</v>
          </cell>
          <cell r="I11" t="str">
            <v>Transfers to other accounts</v>
          </cell>
        </row>
        <row r="12">
          <cell r="H12">
            <v>0</v>
          </cell>
          <cell r="I12" t="str">
            <v>Petty cash drawn/reimbursed</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6622.98</v>
          </cell>
          <cell r="G47">
            <v>0</v>
          </cell>
        </row>
      </sheetData>
      <sheetData sheetId="13">
        <row r="3">
          <cell r="C3" t="str">
            <v>October 2004</v>
          </cell>
        </row>
        <row r="7">
          <cell r="H7">
            <v>0</v>
          </cell>
        </row>
        <row r="8">
          <cell r="H8">
            <v>0</v>
          </cell>
        </row>
        <row r="9">
          <cell r="H9">
            <v>0</v>
          </cell>
        </row>
        <row r="10">
          <cell r="H10">
            <v>0</v>
          </cell>
        </row>
        <row r="11">
          <cell r="H11">
            <v>0</v>
          </cell>
        </row>
        <row r="12">
          <cell r="H12">
            <v>0</v>
          </cell>
        </row>
        <row r="13">
          <cell r="H13">
            <v>0</v>
          </cell>
        </row>
        <row r="14">
          <cell r="H14">
            <v>0</v>
          </cell>
        </row>
        <row r="15">
          <cell r="H15">
            <v>28.02</v>
          </cell>
          <cell r="I15" t="str">
            <v>Interest received</v>
          </cell>
        </row>
        <row r="16">
          <cell r="H16">
            <v>19245.64</v>
          </cell>
          <cell r="I16" t="str">
            <v>Non-EC sales</v>
          </cell>
        </row>
        <row r="17">
          <cell r="H17">
            <v>484.88</v>
          </cell>
          <cell r="I17" t="str">
            <v>Sundry receipts</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19758.54</v>
          </cell>
          <cell r="G47">
            <v>0</v>
          </cell>
        </row>
      </sheetData>
      <sheetData sheetId="14">
        <row r="3">
          <cell r="C3" t="str">
            <v>November 2004</v>
          </cell>
        </row>
        <row r="7">
          <cell r="H7">
            <v>18.16</v>
          </cell>
          <cell r="I7" t="str">
            <v>Interest received</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18.16</v>
          </cell>
          <cell r="G47">
            <v>0</v>
          </cell>
        </row>
      </sheetData>
      <sheetData sheetId="15">
        <row r="3">
          <cell r="C3" t="str">
            <v>December 2004</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9.65</v>
          </cell>
          <cell r="I18" t="str">
            <v>Interest received</v>
          </cell>
        </row>
        <row r="19">
          <cell r="H19">
            <v>17804.03</v>
          </cell>
          <cell r="I19" t="str">
            <v>Non-EC sales</v>
          </cell>
        </row>
        <row r="20">
          <cell r="H20">
            <v>18723.3</v>
          </cell>
          <cell r="I20" t="str">
            <v>Non-EC sales</v>
          </cell>
        </row>
        <row r="21">
          <cell r="H21">
            <v>17908.21</v>
          </cell>
          <cell r="I21" t="str">
            <v>Non-EC sales</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54445.189999999995</v>
          </cell>
          <cell r="G47">
            <v>0</v>
          </cell>
        </row>
      </sheetData>
      <sheetData sheetId="16">
        <row r="3">
          <cell r="C3" t="str">
            <v>February 2004</v>
          </cell>
        </row>
        <row r="7">
          <cell r="H7">
            <v>0</v>
          </cell>
          <cell r="I7" t="str">
            <v>Non-EC sales</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17">
        <row r="3">
          <cell r="C3" t="str">
            <v>January 2004</v>
          </cell>
        </row>
        <row r="7">
          <cell r="H7">
            <v>0</v>
          </cell>
          <cell r="I7" t="str">
            <v>Bank and credit card charges</v>
          </cell>
        </row>
        <row r="8">
          <cell r="H8">
            <v>0</v>
          </cell>
          <cell r="I8" t="str">
            <v>Interest received</v>
          </cell>
        </row>
        <row r="9">
          <cell r="H9">
            <v>0</v>
          </cell>
          <cell r="I9" t="str">
            <v>Sundry receipts</v>
          </cell>
        </row>
        <row r="10">
          <cell r="H10">
            <v>0</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18">
        <row r="3">
          <cell r="C3" t="str">
            <v>February 2004</v>
          </cell>
        </row>
        <row r="7">
          <cell r="H7">
            <v>0</v>
          </cell>
          <cell r="I7" t="str">
            <v>Non-EC sales</v>
          </cell>
        </row>
        <row r="8">
          <cell r="H8">
            <v>0</v>
          </cell>
          <cell r="I8" t="str">
            <v>Bank and credit card charges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0</v>
          </cell>
          <cell r="G47">
            <v>0</v>
          </cell>
        </row>
      </sheetData>
      <sheetData sheetId="19">
        <row r="3">
          <cell r="C3" t="str">
            <v>March 2004</v>
          </cell>
        </row>
        <row r="7">
          <cell r="H7">
            <v>5</v>
          </cell>
          <cell r="I7" t="str">
            <v>Bank and credit card charges</v>
          </cell>
        </row>
        <row r="8">
          <cell r="H8">
            <v>0</v>
          </cell>
          <cell r="I8" t="str">
            <v>Interest received</v>
          </cell>
        </row>
        <row r="9">
          <cell r="H9">
            <v>0</v>
          </cell>
          <cell r="I9" t="str">
            <v>Sundry receipts</v>
          </cell>
        </row>
        <row r="10">
          <cell r="H10">
            <v>0</v>
          </cell>
          <cell r="I10" t="str">
            <v>Non-EC sales</v>
          </cell>
        </row>
        <row r="11">
          <cell r="H11">
            <v>0</v>
          </cell>
          <cell r="I11" t="str">
            <v>Dividends paid</v>
          </cell>
        </row>
        <row r="12">
          <cell r="H12">
            <v>0</v>
          </cell>
          <cell r="I12" t="str">
            <v>Travel, accommodation and subsistence</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5</v>
          </cell>
          <cell r="G47">
            <v>0</v>
          </cell>
        </row>
      </sheetData>
      <sheetData sheetId="20">
        <row r="3">
          <cell r="C3" t="str">
            <v>April 2004</v>
          </cell>
        </row>
        <row r="7">
          <cell r="H7">
            <v>5</v>
          </cell>
          <cell r="I7" t="str">
            <v>Bank and credit card charges</v>
          </cell>
        </row>
        <row r="8">
          <cell r="H8">
            <v>5</v>
          </cell>
          <cell r="I8" t="str">
            <v>Bank and credit card charges</v>
          </cell>
        </row>
        <row r="9">
          <cell r="H9">
            <v>0</v>
          </cell>
          <cell r="I9" t="str">
            <v>Bank and credit card charges</v>
          </cell>
        </row>
        <row r="10">
          <cell r="H10">
            <v>0</v>
          </cell>
          <cell r="I10" t="str">
            <v>Petty cash drawn/reimbursed</v>
          </cell>
        </row>
        <row r="11">
          <cell r="H11">
            <v>0</v>
          </cell>
          <cell r="I11" t="str">
            <v>Legal and professional fees</v>
          </cell>
        </row>
        <row r="12">
          <cell r="H12">
            <v>0</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10</v>
          </cell>
          <cell r="G47">
            <v>0</v>
          </cell>
        </row>
      </sheetData>
      <sheetData sheetId="21">
        <row r="3">
          <cell r="C3" t="str">
            <v>May 2004</v>
          </cell>
        </row>
        <row r="7">
          <cell r="H7">
            <v>11000</v>
          </cell>
          <cell r="I7" t="str">
            <v>Transfers to other accounts</v>
          </cell>
        </row>
        <row r="8">
          <cell r="H8">
            <v>15189.44</v>
          </cell>
          <cell r="I8" t="str">
            <v>Petty cash drawn/reimbursed</v>
          </cell>
        </row>
        <row r="9">
          <cell r="H9">
            <v>43.4</v>
          </cell>
          <cell r="I9" t="str">
            <v>Printing, postage and stationery</v>
          </cell>
        </row>
        <row r="10">
          <cell r="H10">
            <v>161.5</v>
          </cell>
          <cell r="I10" t="str">
            <v>Software &amp; IT Consumables</v>
          </cell>
        </row>
        <row r="11">
          <cell r="H11">
            <v>1000</v>
          </cell>
          <cell r="I11" t="str">
            <v>Dividends paid</v>
          </cell>
        </row>
        <row r="12">
          <cell r="H12">
            <v>80</v>
          </cell>
          <cell r="I12" t="str">
            <v>Travel, accommodation and subsistence</v>
          </cell>
        </row>
        <row r="13">
          <cell r="H13">
            <v>80</v>
          </cell>
          <cell r="I13" t="str">
            <v>Travel, accommodation and subsistence</v>
          </cell>
        </row>
        <row r="14">
          <cell r="H14">
            <v>148.94</v>
          </cell>
          <cell r="I14" t="str">
            <v>Telephone &amp; Internet</v>
          </cell>
        </row>
        <row r="15">
          <cell r="H15">
            <v>228.04</v>
          </cell>
          <cell r="I15" t="str">
            <v>PAYE/National Insurance paid</v>
          </cell>
        </row>
        <row r="16">
          <cell r="H16">
            <v>2271.96</v>
          </cell>
          <cell r="I16" t="str">
            <v>Wages and salaries</v>
          </cell>
        </row>
        <row r="17">
          <cell r="H17">
            <v>16.68</v>
          </cell>
          <cell r="I17" t="str">
            <v>Bank and credit card charges</v>
          </cell>
        </row>
        <row r="18">
          <cell r="H18">
            <v>20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30273.620000000003</v>
          </cell>
          <cell r="G47">
            <v>33.659999999999997</v>
          </cell>
        </row>
      </sheetData>
      <sheetData sheetId="22">
        <row r="3">
          <cell r="C3" t="str">
            <v>June 2004</v>
          </cell>
        </row>
        <row r="7">
          <cell r="H7">
            <v>190</v>
          </cell>
          <cell r="I7" t="str">
            <v>Travel, accommodation and subsistence</v>
          </cell>
        </row>
        <row r="8">
          <cell r="H8">
            <v>20</v>
          </cell>
          <cell r="I8" t="str">
            <v>Bank and credit card charges</v>
          </cell>
        </row>
        <row r="9">
          <cell r="H9">
            <v>8</v>
          </cell>
          <cell r="I9" t="str">
            <v>Bank and credit card charges</v>
          </cell>
        </row>
        <row r="10">
          <cell r="H10">
            <v>4839.2</v>
          </cell>
          <cell r="I10" t="str">
            <v>Petty cash drawn/reimbursed</v>
          </cell>
        </row>
        <row r="11">
          <cell r="H11">
            <v>405.56</v>
          </cell>
          <cell r="I11" t="str">
            <v>Legal and professional fees</v>
          </cell>
        </row>
        <row r="12">
          <cell r="H12">
            <v>17.5</v>
          </cell>
          <cell r="I12" t="str">
            <v>Bank and credit card charges</v>
          </cell>
        </row>
        <row r="13">
          <cell r="H13">
            <v>0</v>
          </cell>
          <cell r="I13" t="str">
            <v>Telephone &amp; Internet</v>
          </cell>
        </row>
        <row r="14">
          <cell r="H14">
            <v>0</v>
          </cell>
          <cell r="I14" t="str">
            <v>PAYE/National Insurance paid</v>
          </cell>
        </row>
        <row r="15">
          <cell r="H15">
            <v>0</v>
          </cell>
          <cell r="I15" t="str">
            <v>Wages and salaries</v>
          </cell>
        </row>
        <row r="16">
          <cell r="H16">
            <v>0</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5480.26</v>
          </cell>
          <cell r="G47">
            <v>0</v>
          </cell>
        </row>
      </sheetData>
      <sheetData sheetId="23">
        <row r="3">
          <cell r="C3" t="str">
            <v>July 2004</v>
          </cell>
        </row>
        <row r="7">
          <cell r="H7">
            <v>50</v>
          </cell>
          <cell r="I7" t="str">
            <v>Travel, accommodation and subsistence</v>
          </cell>
        </row>
        <row r="8">
          <cell r="H8">
            <v>16.66</v>
          </cell>
          <cell r="I8" t="str">
            <v>Bank and credit card charges</v>
          </cell>
        </row>
        <row r="9">
          <cell r="H9">
            <v>16.75</v>
          </cell>
          <cell r="I9" t="str">
            <v>Bank and credit card charges</v>
          </cell>
        </row>
        <row r="10">
          <cell r="H10">
            <v>50</v>
          </cell>
          <cell r="I10" t="str">
            <v>Travel, accommodation and subsistence</v>
          </cell>
        </row>
        <row r="11">
          <cell r="H11">
            <v>25000</v>
          </cell>
          <cell r="I11" t="str">
            <v>Transfers to other accounts</v>
          </cell>
        </row>
        <row r="12">
          <cell r="H12">
            <v>1771.05</v>
          </cell>
          <cell r="I12" t="str">
            <v>Petty cash drawn/reimbursed</v>
          </cell>
        </row>
        <row r="13">
          <cell r="H13">
            <v>0</v>
          </cell>
          <cell r="I13" t="str">
            <v>Travel, accommodation and subsistence</v>
          </cell>
        </row>
        <row r="14">
          <cell r="H14">
            <v>0</v>
          </cell>
          <cell r="I14" t="str">
            <v>Telephone &amp; Internet</v>
          </cell>
        </row>
        <row r="15">
          <cell r="H15">
            <v>0</v>
          </cell>
          <cell r="I15" t="str">
            <v>PAYE/National Insurance paid</v>
          </cell>
        </row>
        <row r="16">
          <cell r="H16">
            <v>0</v>
          </cell>
          <cell r="I16" t="str">
            <v>Wages and salaries</v>
          </cell>
        </row>
        <row r="17">
          <cell r="H17">
            <v>0</v>
          </cell>
          <cell r="I17" t="str">
            <v>Bank and credit card charges</v>
          </cell>
        </row>
        <row r="18">
          <cell r="H18">
            <v>0</v>
          </cell>
          <cell r="I18" t="str">
            <v>Bank and credit card charges</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26904.46</v>
          </cell>
          <cell r="G47">
            <v>0</v>
          </cell>
        </row>
      </sheetData>
      <sheetData sheetId="24">
        <row r="3">
          <cell r="C3" t="str">
            <v>August 2004</v>
          </cell>
        </row>
        <row r="7">
          <cell r="H7">
            <v>3.4099999999999997</v>
          </cell>
          <cell r="I7" t="str">
            <v>Telephone &amp; Internet</v>
          </cell>
        </row>
        <row r="8">
          <cell r="H8">
            <v>112.5</v>
          </cell>
          <cell r="I8" t="str">
            <v>Legal and professional fees</v>
          </cell>
        </row>
        <row r="9">
          <cell r="H9">
            <v>1815.51</v>
          </cell>
          <cell r="I9" t="str">
            <v>Legal and professional fees</v>
          </cell>
        </row>
        <row r="10">
          <cell r="H10">
            <v>17.5</v>
          </cell>
          <cell r="I10" t="str">
            <v>Bank and credit card charges</v>
          </cell>
        </row>
        <row r="11">
          <cell r="H11">
            <v>3699.02</v>
          </cell>
          <cell r="I11" t="str">
            <v>Petty cash drawn/reimbursed</v>
          </cell>
        </row>
        <row r="12">
          <cell r="H12">
            <v>17.59</v>
          </cell>
          <cell r="I12" t="str">
            <v>Bank and credit card charges</v>
          </cell>
        </row>
        <row r="13">
          <cell r="H13">
            <v>50.25</v>
          </cell>
          <cell r="I13" t="str">
            <v>Telephone &amp; Internet</v>
          </cell>
        </row>
        <row r="14">
          <cell r="H14">
            <v>3365.35</v>
          </cell>
          <cell r="I14" t="str">
            <v>PAYE/National Insurance paid</v>
          </cell>
        </row>
        <row r="15">
          <cell r="H15">
            <v>6687.27</v>
          </cell>
          <cell r="I15" t="str">
            <v>Wages and salaries</v>
          </cell>
        </row>
        <row r="16">
          <cell r="H16">
            <v>4021.86</v>
          </cell>
          <cell r="I16" t="str">
            <v>Petty cash drawn/reimbursed</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19799.650000000001</v>
          </cell>
          <cell r="G47">
            <v>9.3899999999999988</v>
          </cell>
        </row>
      </sheetData>
      <sheetData sheetId="25">
        <row r="6">
          <cell r="E6">
            <v>12</v>
          </cell>
        </row>
        <row r="7">
          <cell r="H7">
            <v>17.8</v>
          </cell>
          <cell r="I7" t="str">
            <v>Bank and credit card charges</v>
          </cell>
        </row>
        <row r="8">
          <cell r="H8">
            <v>15000</v>
          </cell>
          <cell r="I8" t="str">
            <v>Transfers to other accounts</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F47">
            <v>15017.8</v>
          </cell>
          <cell r="G47">
            <v>0</v>
          </cell>
        </row>
      </sheetData>
      <sheetData sheetId="26">
        <row r="5">
          <cell r="D5" t="str">
            <v>Cassel Consulting Limited</v>
          </cell>
        </row>
        <row r="7">
          <cell r="H7">
            <v>80</v>
          </cell>
          <cell r="I7" t="str">
            <v>Travel, accommodation and subsistence</v>
          </cell>
        </row>
        <row r="8">
          <cell r="H8">
            <v>80</v>
          </cell>
          <cell r="I8" t="str">
            <v>Travel, accommodation and subsistence</v>
          </cell>
        </row>
        <row r="9">
          <cell r="H9">
            <v>57.709999999999994</v>
          </cell>
          <cell r="I9" t="str">
            <v>Telephone &amp; Internet</v>
          </cell>
        </row>
        <row r="10">
          <cell r="H10">
            <v>3757.02</v>
          </cell>
          <cell r="I10" t="str">
            <v>Petty cash drawn/reimbursed</v>
          </cell>
        </row>
        <row r="11">
          <cell r="H11">
            <v>325.64</v>
          </cell>
          <cell r="I11" t="str">
            <v>Legal and professional fees</v>
          </cell>
        </row>
        <row r="12">
          <cell r="H12">
            <v>17.5</v>
          </cell>
          <cell r="I12" t="str">
            <v>Bank and credit card charges</v>
          </cell>
        </row>
        <row r="13">
          <cell r="H13">
            <v>0</v>
          </cell>
          <cell r="I13" t="str">
            <v>Travel, accommodation and subsistence</v>
          </cell>
        </row>
        <row r="14">
          <cell r="H14">
            <v>0</v>
          </cell>
          <cell r="I14" t="str">
            <v>Travel, accommodation and subsistence</v>
          </cell>
        </row>
        <row r="15">
          <cell r="H15">
            <v>0</v>
          </cell>
          <cell r="I15" t="str">
            <v>Travel, accommodation and subsistence</v>
          </cell>
        </row>
        <row r="16">
          <cell r="H16">
            <v>0</v>
          </cell>
          <cell r="I16" t="str">
            <v>Travel, accommodation and subsistence</v>
          </cell>
        </row>
        <row r="17">
          <cell r="H17">
            <v>0</v>
          </cell>
          <cell r="I17" t="str">
            <v>Travel, accommodation and subsistence</v>
          </cell>
        </row>
        <row r="18">
          <cell r="H18">
            <v>0</v>
          </cell>
          <cell r="I18" t="str">
            <v>Travel, accommodation and subsistence</v>
          </cell>
        </row>
        <row r="19">
          <cell r="H19">
            <v>0</v>
          </cell>
          <cell r="I19" t="str">
            <v>Travel, accommodation and subsistence</v>
          </cell>
        </row>
        <row r="20">
          <cell r="H20">
            <v>0</v>
          </cell>
          <cell r="I20" t="str">
            <v>Travel, accommodation and subsistence</v>
          </cell>
        </row>
        <row r="21">
          <cell r="H21">
            <v>0</v>
          </cell>
          <cell r="I21" t="str">
            <v>Travel, accommodation and subsistence</v>
          </cell>
        </row>
        <row r="22">
          <cell r="H22">
            <v>0</v>
          </cell>
          <cell r="I22" t="str">
            <v>Travel, accommodation and subsistence</v>
          </cell>
        </row>
        <row r="23">
          <cell r="H23">
            <v>0</v>
          </cell>
          <cell r="I23" t="str">
            <v>Travel, accommodation and subsistence</v>
          </cell>
        </row>
        <row r="24">
          <cell r="H24">
            <v>0</v>
          </cell>
          <cell r="I24" t="str">
            <v>Travel, accommodation and subsistence</v>
          </cell>
        </row>
        <row r="25">
          <cell r="H25">
            <v>0</v>
          </cell>
          <cell r="I25" t="str">
            <v>Travel, accommodation and subsistence</v>
          </cell>
        </row>
        <row r="26">
          <cell r="H26">
            <v>0</v>
          </cell>
          <cell r="I26" t="str">
            <v>Travel, accommodation and subsistence</v>
          </cell>
        </row>
        <row r="27">
          <cell r="H27">
            <v>0</v>
          </cell>
          <cell r="I27" t="str">
            <v>Travel, accommodation and subsistence</v>
          </cell>
        </row>
        <row r="28">
          <cell r="H28">
            <v>0</v>
          </cell>
          <cell r="I28" t="str">
            <v>Sundry expenses</v>
          </cell>
        </row>
        <row r="29">
          <cell r="H29">
            <v>0</v>
          </cell>
          <cell r="I29" t="str">
            <v>Sundry expenses</v>
          </cell>
        </row>
        <row r="30">
          <cell r="H30">
            <v>0</v>
          </cell>
          <cell r="I30" t="str">
            <v>Sundry expenses</v>
          </cell>
        </row>
        <row r="31">
          <cell r="H31">
            <v>0</v>
          </cell>
          <cell r="I31" t="str">
            <v>Travel, accommodation and subsistence</v>
          </cell>
        </row>
        <row r="32">
          <cell r="H32">
            <v>0</v>
          </cell>
          <cell r="I32" t="str">
            <v>Travel, accommodation and subsistence</v>
          </cell>
        </row>
        <row r="33">
          <cell r="H33">
            <v>0</v>
          </cell>
          <cell r="I33" t="str">
            <v>Travel, accommodation and subsistence</v>
          </cell>
        </row>
        <row r="34">
          <cell r="H34">
            <v>0</v>
          </cell>
          <cell r="I34" t="str">
            <v>Travel, accommodation and subsistence</v>
          </cell>
        </row>
        <row r="35">
          <cell r="H35">
            <v>0</v>
          </cell>
          <cell r="I35" t="str">
            <v>Travel, accommodation and subsistence</v>
          </cell>
        </row>
        <row r="36">
          <cell r="H36">
            <v>0</v>
          </cell>
          <cell r="I36" t="str">
            <v>Legal and professional fees</v>
          </cell>
        </row>
        <row r="37">
          <cell r="H37">
            <v>0</v>
          </cell>
          <cell r="I37" t="str">
            <v>Motor Travel</v>
          </cell>
        </row>
        <row r="38">
          <cell r="H38">
            <v>0</v>
          </cell>
          <cell r="I38" t="str">
            <v>Travel, accommodation and subsistence</v>
          </cell>
        </row>
        <row r="39">
          <cell r="H39">
            <v>0</v>
          </cell>
          <cell r="I39" t="str">
            <v>Travel, accommodation and subsistence</v>
          </cell>
        </row>
        <row r="40">
          <cell r="H40">
            <v>0</v>
          </cell>
          <cell r="I40" t="str">
            <v>Travel, accommodation and subsistence</v>
          </cell>
        </row>
        <row r="41">
          <cell r="H41">
            <v>0</v>
          </cell>
          <cell r="I41" t="str">
            <v>Travel, accommodation and subsistence</v>
          </cell>
        </row>
        <row r="42">
          <cell r="H42">
            <v>0</v>
          </cell>
          <cell r="I42" t="str">
            <v>Travel, accommodation and subsistence</v>
          </cell>
        </row>
        <row r="43">
          <cell r="H43">
            <v>0</v>
          </cell>
          <cell r="I43" t="str">
            <v>Travel, accommodation and subsistence</v>
          </cell>
        </row>
        <row r="44">
          <cell r="H44">
            <v>0</v>
          </cell>
          <cell r="I44" t="str">
            <v>Travel, accommodation and subsistence</v>
          </cell>
        </row>
        <row r="45">
          <cell r="H45">
            <v>0</v>
          </cell>
          <cell r="I45" t="str">
            <v>Travel, accommodation and subsistence</v>
          </cell>
        </row>
        <row r="46">
          <cell r="H46">
            <v>0</v>
          </cell>
          <cell r="I46" t="str">
            <v>Travel, accommodation and subsistence</v>
          </cell>
        </row>
        <row r="47">
          <cell r="F47">
            <v>4327.96</v>
          </cell>
          <cell r="G47">
            <v>10.09</v>
          </cell>
        </row>
      </sheetData>
      <sheetData sheetId="27">
        <row r="5">
          <cell r="D5" t="str">
            <v>Cassel Consulting Limited</v>
          </cell>
        </row>
        <row r="7">
          <cell r="H7">
            <v>19.189999999999998</v>
          </cell>
          <cell r="I7" t="str">
            <v>Telephone &amp; Internet</v>
          </cell>
        </row>
        <row r="8">
          <cell r="H8">
            <v>50</v>
          </cell>
          <cell r="I8" t="str">
            <v>Travel, accommodation and subsistence</v>
          </cell>
        </row>
        <row r="9">
          <cell r="H9">
            <v>50</v>
          </cell>
          <cell r="I9" t="str">
            <v>Travel, accommodation and subsistence</v>
          </cell>
        </row>
        <row r="10">
          <cell r="H10">
            <v>6440.32</v>
          </cell>
          <cell r="I10" t="str">
            <v>Wages and salaries</v>
          </cell>
        </row>
        <row r="11">
          <cell r="H11">
            <v>2408.19</v>
          </cell>
          <cell r="I11" t="str">
            <v>Petty cash drawn/reimbursed</v>
          </cell>
        </row>
        <row r="12">
          <cell r="H12">
            <v>27000</v>
          </cell>
          <cell r="I12" t="str">
            <v>Transfers to other accounts</v>
          </cell>
        </row>
        <row r="13">
          <cell r="H13">
            <v>3899.66</v>
          </cell>
          <cell r="I13" t="str">
            <v>PAYE/National Insurance paid</v>
          </cell>
        </row>
        <row r="14">
          <cell r="H14">
            <v>560</v>
          </cell>
          <cell r="I14" t="str">
            <v>Sundry expenses</v>
          </cell>
        </row>
        <row r="15">
          <cell r="H15">
            <v>5</v>
          </cell>
          <cell r="I15" t="str">
            <v>Bank and credit card charges</v>
          </cell>
        </row>
        <row r="16">
          <cell r="H16">
            <v>17.84</v>
          </cell>
          <cell r="I16" t="str">
            <v>Bank and credit card charges</v>
          </cell>
        </row>
        <row r="17">
          <cell r="H17">
            <v>10000</v>
          </cell>
          <cell r="I17" t="str">
            <v>Transfers to other accounts</v>
          </cell>
        </row>
        <row r="18">
          <cell r="H18">
            <v>2851.1</v>
          </cell>
          <cell r="I18" t="str">
            <v>Legal and professional fees</v>
          </cell>
        </row>
        <row r="19">
          <cell r="H19">
            <v>17.5</v>
          </cell>
          <cell r="I19" t="str">
            <v>Bank and credit card charges</v>
          </cell>
        </row>
        <row r="20">
          <cell r="H20">
            <v>0</v>
          </cell>
          <cell r="I20" t="str">
            <v>Travel, accommodation and subsistence</v>
          </cell>
        </row>
        <row r="21">
          <cell r="H21">
            <v>0</v>
          </cell>
          <cell r="I21" t="str">
            <v>Travel, accommodation and subsistence</v>
          </cell>
        </row>
        <row r="22">
          <cell r="H22">
            <v>0</v>
          </cell>
          <cell r="I22" t="str">
            <v>Entertaining</v>
          </cell>
        </row>
        <row r="23">
          <cell r="H23">
            <v>0</v>
          </cell>
          <cell r="I23" t="str">
            <v>Travel, accommodation and subsistence</v>
          </cell>
        </row>
        <row r="24">
          <cell r="H24">
            <v>0</v>
          </cell>
          <cell r="I24" t="str">
            <v>Travel, accommodation and subsistence</v>
          </cell>
        </row>
        <row r="25">
          <cell r="H25">
            <v>0</v>
          </cell>
          <cell r="I25" t="str">
            <v>Travel, accommodation and subsistence</v>
          </cell>
        </row>
        <row r="26">
          <cell r="H26">
            <v>0</v>
          </cell>
          <cell r="I26" t="str">
            <v>Motor Travel</v>
          </cell>
        </row>
        <row r="27">
          <cell r="H27">
            <v>0</v>
          </cell>
          <cell r="I27" t="str">
            <v>Travel, accommodation and subsistence</v>
          </cell>
        </row>
        <row r="28">
          <cell r="H28">
            <v>0</v>
          </cell>
          <cell r="I28" t="str">
            <v>Travel, accommodation and subsistence</v>
          </cell>
        </row>
        <row r="29">
          <cell r="H29">
            <v>0</v>
          </cell>
          <cell r="I29" t="str">
            <v>Travel, accommodation and subsistence</v>
          </cell>
        </row>
        <row r="30">
          <cell r="H30">
            <v>0</v>
          </cell>
          <cell r="I30" t="str">
            <v>Travel, accommodation and subsistence</v>
          </cell>
        </row>
        <row r="31">
          <cell r="H31">
            <v>0</v>
          </cell>
          <cell r="I31" t="str">
            <v>Travel, accommodation and subsistence</v>
          </cell>
        </row>
        <row r="32">
          <cell r="H32">
            <v>0</v>
          </cell>
          <cell r="I32" t="str">
            <v>Entertaining</v>
          </cell>
        </row>
        <row r="33">
          <cell r="H33">
            <v>0</v>
          </cell>
          <cell r="I33" t="str">
            <v>Travel, accommodation and subsistence</v>
          </cell>
        </row>
        <row r="34">
          <cell r="H34">
            <v>0</v>
          </cell>
          <cell r="I34" t="str">
            <v>Travel, accommodation and subsistence</v>
          </cell>
        </row>
        <row r="35">
          <cell r="H35">
            <v>0</v>
          </cell>
          <cell r="I35" t="str">
            <v>Travel, accommodation and subsistence</v>
          </cell>
        </row>
        <row r="36">
          <cell r="H36">
            <v>0</v>
          </cell>
          <cell r="I36" t="str">
            <v>Motor Travel</v>
          </cell>
        </row>
        <row r="37">
          <cell r="H37">
            <v>0</v>
          </cell>
          <cell r="I37" t="str">
            <v>Travel, accommodation and subsistence</v>
          </cell>
        </row>
        <row r="38">
          <cell r="H38">
            <v>0</v>
          </cell>
          <cell r="I38" t="str">
            <v>Travel, accommodation and subsistence</v>
          </cell>
        </row>
        <row r="39">
          <cell r="H39">
            <v>0</v>
          </cell>
          <cell r="I39" t="str">
            <v>Motor Travel</v>
          </cell>
        </row>
        <row r="40">
          <cell r="H40">
            <v>0</v>
          </cell>
          <cell r="I40" t="str">
            <v>Telephone &amp; Internet</v>
          </cell>
        </row>
        <row r="41">
          <cell r="H41">
            <v>0</v>
          </cell>
          <cell r="I41" t="str">
            <v>Telephone &amp; Internet</v>
          </cell>
        </row>
        <row r="42">
          <cell r="H42">
            <v>0</v>
          </cell>
          <cell r="I42" t="str">
            <v>Travel, accommodation and subsistence</v>
          </cell>
        </row>
        <row r="43">
          <cell r="H43">
            <v>0</v>
          </cell>
          <cell r="I43" t="str">
            <v>Travel, accommodation and subsistence</v>
          </cell>
        </row>
        <row r="44">
          <cell r="H44">
            <v>0</v>
          </cell>
          <cell r="I44" t="str">
            <v>Travel, accommodation and subsistence</v>
          </cell>
        </row>
        <row r="45">
          <cell r="H45">
            <v>0</v>
          </cell>
          <cell r="I45" t="str">
            <v>Travel, accommodation and subsistence</v>
          </cell>
        </row>
        <row r="46">
          <cell r="H46">
            <v>0</v>
          </cell>
          <cell r="I46" t="str">
            <v>Travel, accommodation and subsistence</v>
          </cell>
        </row>
        <row r="47">
          <cell r="F47">
            <v>53322.15</v>
          </cell>
          <cell r="G47">
            <v>3.35</v>
          </cell>
        </row>
      </sheetData>
      <sheetData sheetId="28">
        <row r="5">
          <cell r="D5" t="str">
            <v>Cassel Consulting Limited</v>
          </cell>
        </row>
        <row r="7">
          <cell r="H7">
            <v>341.5</v>
          </cell>
          <cell r="I7" t="str">
            <v>Travel, accommodation and subsistence</v>
          </cell>
        </row>
        <row r="8">
          <cell r="H8">
            <v>175.5</v>
          </cell>
          <cell r="I8" t="str">
            <v>Travel, accommodation and subsistence</v>
          </cell>
        </row>
        <row r="9">
          <cell r="H9">
            <v>5.05</v>
          </cell>
          <cell r="I9" t="str">
            <v>Travel, accommodation and subsistence</v>
          </cell>
        </row>
        <row r="10">
          <cell r="H10">
            <v>11.7</v>
          </cell>
          <cell r="I10" t="str">
            <v>Travel, accommodation and subsistence</v>
          </cell>
        </row>
        <row r="11">
          <cell r="H11">
            <v>9.36</v>
          </cell>
          <cell r="I11" t="str">
            <v>Travel, accommodation and subsistence</v>
          </cell>
        </row>
        <row r="12">
          <cell r="H12">
            <v>7.96</v>
          </cell>
          <cell r="I12" t="str">
            <v>Travel, accommodation and subsistence</v>
          </cell>
        </row>
        <row r="13">
          <cell r="H13">
            <v>1.03</v>
          </cell>
          <cell r="I13" t="str">
            <v>Travel, accommodation and subsistence</v>
          </cell>
        </row>
        <row r="14">
          <cell r="H14">
            <v>1.03</v>
          </cell>
          <cell r="I14" t="str">
            <v>Travel, accommodation and subsistence</v>
          </cell>
        </row>
        <row r="15">
          <cell r="H15">
            <v>3.84</v>
          </cell>
          <cell r="I15" t="str">
            <v>Travel, accommodation and subsistence</v>
          </cell>
        </row>
        <row r="16">
          <cell r="H16">
            <v>1.92</v>
          </cell>
          <cell r="I16" t="str">
            <v>Travel, accommodation and subsistence</v>
          </cell>
        </row>
        <row r="17">
          <cell r="H17">
            <v>3.23</v>
          </cell>
          <cell r="I17" t="str">
            <v>Travel, accommodation and subsistence</v>
          </cell>
        </row>
        <row r="18">
          <cell r="H18">
            <v>171.5</v>
          </cell>
          <cell r="I18" t="str">
            <v>Travel, accommodation and subsistence</v>
          </cell>
        </row>
        <row r="19">
          <cell r="H19">
            <v>74.5</v>
          </cell>
          <cell r="I19" t="str">
            <v>Travel, accommodation and subsistence</v>
          </cell>
        </row>
        <row r="20">
          <cell r="H20">
            <v>1.03</v>
          </cell>
          <cell r="I20" t="str">
            <v>Travel, accommodation and subsistence</v>
          </cell>
        </row>
        <row r="21">
          <cell r="H21">
            <v>1.03</v>
          </cell>
          <cell r="I21" t="str">
            <v>Travel, accommodation and subsistence</v>
          </cell>
        </row>
        <row r="22">
          <cell r="H22">
            <v>4.53</v>
          </cell>
          <cell r="I22" t="str">
            <v>Travel, accommodation and subsistence</v>
          </cell>
        </row>
        <row r="23">
          <cell r="H23">
            <v>8.19</v>
          </cell>
          <cell r="I23" t="str">
            <v>Travel, accommodation and subsistence</v>
          </cell>
        </row>
        <row r="24">
          <cell r="H24">
            <v>1.03</v>
          </cell>
          <cell r="I24" t="str">
            <v>Travel, accommodation and subsistence</v>
          </cell>
        </row>
        <row r="25">
          <cell r="H25">
            <v>1.03</v>
          </cell>
          <cell r="I25" t="str">
            <v>Travel, accommodation and subsistence</v>
          </cell>
        </row>
        <row r="26">
          <cell r="H26">
            <v>4.07</v>
          </cell>
          <cell r="I26" t="str">
            <v>Travel, accommodation and subsistence</v>
          </cell>
        </row>
        <row r="27">
          <cell r="H27">
            <v>7.09</v>
          </cell>
          <cell r="I27" t="str">
            <v>Travel, accommodation and subsistence</v>
          </cell>
        </row>
        <row r="28">
          <cell r="H28">
            <v>132</v>
          </cell>
          <cell r="I28" t="str">
            <v>Sundry expenses</v>
          </cell>
        </row>
        <row r="29">
          <cell r="H29">
            <v>75</v>
          </cell>
          <cell r="I29" t="str">
            <v>Sundry expenses</v>
          </cell>
        </row>
        <row r="30">
          <cell r="H30">
            <v>260</v>
          </cell>
          <cell r="I30" t="str">
            <v>Sundry expenses</v>
          </cell>
        </row>
        <row r="31">
          <cell r="H31">
            <v>1.03</v>
          </cell>
          <cell r="I31" t="str">
            <v>Travel, accommodation and subsistence</v>
          </cell>
        </row>
        <row r="32">
          <cell r="H32">
            <v>1.03</v>
          </cell>
          <cell r="I32" t="str">
            <v>Travel, accommodation and subsistence</v>
          </cell>
        </row>
        <row r="33">
          <cell r="H33">
            <v>4.45</v>
          </cell>
          <cell r="I33" t="str">
            <v>Travel, accommodation and subsistence</v>
          </cell>
        </row>
        <row r="34">
          <cell r="H34">
            <v>3.51</v>
          </cell>
          <cell r="I34" t="str">
            <v>Travel, accommodation and subsistence</v>
          </cell>
        </row>
        <row r="35">
          <cell r="H35">
            <v>68.09</v>
          </cell>
          <cell r="I35" t="str">
            <v>Travel, accommodation and subsistence</v>
          </cell>
        </row>
        <row r="36">
          <cell r="H36">
            <v>350</v>
          </cell>
          <cell r="I36" t="str">
            <v>Legal and professional fees</v>
          </cell>
        </row>
        <row r="37">
          <cell r="H37">
            <v>53.6</v>
          </cell>
          <cell r="I37" t="str">
            <v>Motor Travel</v>
          </cell>
        </row>
        <row r="38">
          <cell r="H38">
            <v>224.61</v>
          </cell>
          <cell r="I38" t="str">
            <v>Travel, accommodation and subsistence</v>
          </cell>
        </row>
        <row r="39">
          <cell r="H39">
            <v>146.30000000000001</v>
          </cell>
          <cell r="I39" t="str">
            <v>Travel, accommodation and subsistence</v>
          </cell>
        </row>
        <row r="40">
          <cell r="H40">
            <v>366.3</v>
          </cell>
          <cell r="I40" t="str">
            <v>Travel, accommodation and subsistence</v>
          </cell>
        </row>
        <row r="41">
          <cell r="H41">
            <v>5.5</v>
          </cell>
          <cell r="I41" t="str">
            <v>Travel, accommodation and subsistence</v>
          </cell>
        </row>
        <row r="42">
          <cell r="H42">
            <v>11.63</v>
          </cell>
          <cell r="I42" t="str">
            <v>Travel, accommodation and subsistence</v>
          </cell>
        </row>
        <row r="43">
          <cell r="H43">
            <v>1.02</v>
          </cell>
          <cell r="I43" t="str">
            <v>Travel, accommodation and subsistence</v>
          </cell>
        </row>
        <row r="44">
          <cell r="H44">
            <v>10.24</v>
          </cell>
          <cell r="I44" t="str">
            <v>Travel, accommodation and subsistence</v>
          </cell>
        </row>
        <row r="45">
          <cell r="H45">
            <v>5.58</v>
          </cell>
          <cell r="I45" t="str">
            <v>Travel, accommodation and subsistence</v>
          </cell>
        </row>
        <row r="46">
          <cell r="H46">
            <v>12.75</v>
          </cell>
          <cell r="I46" t="str">
            <v>Travel, accommodation and subsistence</v>
          </cell>
        </row>
        <row r="47">
          <cell r="F47">
            <v>2641.92</v>
          </cell>
          <cell r="G47">
            <v>73.16</v>
          </cell>
        </row>
      </sheetData>
      <sheetData sheetId="29">
        <row r="7">
          <cell r="H7">
            <v>5.05</v>
          </cell>
          <cell r="I7" t="str">
            <v>Travel, accommodation and subsistence</v>
          </cell>
        </row>
        <row r="8">
          <cell r="H8">
            <v>11.56</v>
          </cell>
          <cell r="I8" t="str">
            <v>Travel, accommodation and subsistence</v>
          </cell>
        </row>
        <row r="9">
          <cell r="H9">
            <v>1.02</v>
          </cell>
          <cell r="I9" t="str">
            <v>Travel, accommodation and subsistence</v>
          </cell>
        </row>
        <row r="10">
          <cell r="H10">
            <v>3.47</v>
          </cell>
          <cell r="I10" t="str">
            <v>Travel, accommodation and subsistence</v>
          </cell>
        </row>
        <row r="11">
          <cell r="H11">
            <v>5.57</v>
          </cell>
          <cell r="I11" t="str">
            <v>Travel, accommodation and subsistence</v>
          </cell>
        </row>
        <row r="12">
          <cell r="H12">
            <v>1.02</v>
          </cell>
          <cell r="I12" t="str">
            <v>Travel, accommodation and subsistence</v>
          </cell>
        </row>
        <row r="13">
          <cell r="H13">
            <v>1.02</v>
          </cell>
          <cell r="I13" t="str">
            <v>Travel, accommodation and subsistence</v>
          </cell>
        </row>
        <row r="14">
          <cell r="H14">
            <v>2.2200000000000002</v>
          </cell>
          <cell r="I14" t="str">
            <v>Travel, accommodation and subsistence</v>
          </cell>
        </row>
        <row r="15">
          <cell r="H15">
            <v>2.77</v>
          </cell>
          <cell r="I15" t="str">
            <v>Travel, accommodation and subsistence</v>
          </cell>
        </row>
        <row r="16">
          <cell r="H16">
            <v>1.94</v>
          </cell>
          <cell r="I16" t="str">
            <v>Travel, accommodation and subsistence</v>
          </cell>
        </row>
        <row r="17">
          <cell r="H17">
            <v>1.02</v>
          </cell>
          <cell r="I17" t="str">
            <v>Travel, accommodation and subsistence</v>
          </cell>
        </row>
        <row r="18">
          <cell r="H18">
            <v>1.02</v>
          </cell>
          <cell r="I18" t="str">
            <v>Travel, accommodation and subsistence</v>
          </cell>
        </row>
        <row r="19">
          <cell r="H19">
            <v>6.86</v>
          </cell>
          <cell r="I19" t="str">
            <v>Travel, accommodation and subsistence</v>
          </cell>
        </row>
        <row r="20">
          <cell r="H20">
            <v>4.04</v>
          </cell>
          <cell r="I20" t="str">
            <v>Travel, accommodation and subsistence</v>
          </cell>
        </row>
        <row r="21">
          <cell r="H21">
            <v>1.02</v>
          </cell>
          <cell r="I21" t="str">
            <v>Travel, accommodation and subsistence</v>
          </cell>
        </row>
        <row r="22">
          <cell r="H22">
            <v>1.02</v>
          </cell>
          <cell r="I22" t="str">
            <v>Travel, accommodation and subsistence</v>
          </cell>
        </row>
        <row r="23">
          <cell r="H23">
            <v>3.14</v>
          </cell>
          <cell r="I23" t="str">
            <v>Travel, accommodation and subsistence</v>
          </cell>
        </row>
        <row r="24">
          <cell r="H24">
            <v>2.2200000000000002</v>
          </cell>
          <cell r="I24" t="str">
            <v>Travel, accommodation and subsistence</v>
          </cell>
        </row>
        <row r="25">
          <cell r="H25">
            <v>2.08</v>
          </cell>
          <cell r="I25" t="str">
            <v>Travel, accommodation and subsistence</v>
          </cell>
        </row>
        <row r="26">
          <cell r="H26">
            <v>183.05</v>
          </cell>
          <cell r="I26" t="str">
            <v>Travel, accommodation and subsistence</v>
          </cell>
        </row>
        <row r="27">
          <cell r="H27">
            <v>1.02</v>
          </cell>
          <cell r="I27" t="str">
            <v>Travel, accommodation and subsistence</v>
          </cell>
        </row>
        <row r="28">
          <cell r="H28">
            <v>1.02</v>
          </cell>
          <cell r="I28" t="str">
            <v>Travel, accommodation and subsistence</v>
          </cell>
        </row>
        <row r="29">
          <cell r="H29">
            <v>2.13</v>
          </cell>
          <cell r="I29" t="str">
            <v>Travel, accommodation and subsistence</v>
          </cell>
        </row>
        <row r="30">
          <cell r="H30">
            <v>3.47</v>
          </cell>
          <cell r="I30" t="str">
            <v>Travel, accommodation and subsistence</v>
          </cell>
        </row>
        <row r="31">
          <cell r="H31">
            <v>72.34</v>
          </cell>
          <cell r="I31" t="str">
            <v>Travel, accommodation and subsistence</v>
          </cell>
        </row>
        <row r="32">
          <cell r="H32">
            <v>52.8</v>
          </cell>
          <cell r="I32" t="str">
            <v>Motor Travel</v>
          </cell>
        </row>
        <row r="33">
          <cell r="H33">
            <v>122.2</v>
          </cell>
          <cell r="I33" t="str">
            <v>Travel, accommodation and subsistence</v>
          </cell>
        </row>
        <row r="34">
          <cell r="H34">
            <v>102.2</v>
          </cell>
          <cell r="I34" t="str">
            <v>Travel, accommodation and subsistence</v>
          </cell>
        </row>
        <row r="35">
          <cell r="H35">
            <v>2.52</v>
          </cell>
          <cell r="I35" t="str">
            <v>Printing, postage and stationery</v>
          </cell>
        </row>
        <row r="36">
          <cell r="H36">
            <v>5.05</v>
          </cell>
          <cell r="I36" t="str">
            <v>Travel, accommodation and subsistence</v>
          </cell>
        </row>
        <row r="37">
          <cell r="H37">
            <v>11.52</v>
          </cell>
          <cell r="I37" t="str">
            <v>Travel, accommodation and subsistence</v>
          </cell>
        </row>
        <row r="38">
          <cell r="H38">
            <v>1.01</v>
          </cell>
          <cell r="I38" t="str">
            <v>Travel, accommodation and subsistence</v>
          </cell>
        </row>
        <row r="39">
          <cell r="H39">
            <v>1.01</v>
          </cell>
          <cell r="I39" t="str">
            <v>Travel, accommodation and subsistence</v>
          </cell>
        </row>
        <row r="40">
          <cell r="H40">
            <v>1.01</v>
          </cell>
          <cell r="I40" t="str">
            <v>Travel, accommodation and subsistence</v>
          </cell>
        </row>
        <row r="41">
          <cell r="H41">
            <v>3.13</v>
          </cell>
          <cell r="I41" t="str">
            <v>Travel, accommodation and subsistence</v>
          </cell>
        </row>
        <row r="42">
          <cell r="H42">
            <v>4.6100000000000003</v>
          </cell>
          <cell r="I42" t="str">
            <v>Travel, accommodation and subsistence</v>
          </cell>
        </row>
        <row r="43">
          <cell r="H43">
            <v>1.01</v>
          </cell>
          <cell r="I43" t="str">
            <v>Travel, accommodation and subsistence</v>
          </cell>
        </row>
        <row r="44">
          <cell r="H44">
            <v>1.01</v>
          </cell>
          <cell r="I44" t="str">
            <v>Travel, accommodation and subsistence</v>
          </cell>
        </row>
        <row r="45">
          <cell r="H45">
            <v>5.76</v>
          </cell>
          <cell r="I45" t="str">
            <v>Travel, accommodation and subsistence</v>
          </cell>
        </row>
        <row r="46">
          <cell r="H46">
            <v>3.46</v>
          </cell>
          <cell r="I46" t="str">
            <v>Travel, accommodation and subsistence</v>
          </cell>
        </row>
        <row r="47">
          <cell r="F47">
            <v>652.49</v>
          </cell>
          <cell r="G47">
            <v>13.1</v>
          </cell>
        </row>
      </sheetData>
      <sheetData sheetId="30">
        <row r="7">
          <cell r="H7">
            <v>11.21</v>
          </cell>
          <cell r="I7" t="str">
            <v>Travel, accommodation and subsistence</v>
          </cell>
        </row>
        <row r="8">
          <cell r="H8">
            <v>0.99</v>
          </cell>
          <cell r="I8" t="str">
            <v>Travel, accommodation and subsistence</v>
          </cell>
        </row>
        <row r="9">
          <cell r="H9">
            <v>5.65</v>
          </cell>
          <cell r="I9" t="str">
            <v>Travel, accommodation and subsistence</v>
          </cell>
        </row>
        <row r="10">
          <cell r="H10">
            <v>3.86</v>
          </cell>
          <cell r="I10" t="str">
            <v>Travel, accommodation and subsistence</v>
          </cell>
        </row>
        <row r="11">
          <cell r="H11">
            <v>0.99</v>
          </cell>
          <cell r="I11" t="str">
            <v>Travel, accommodation and subsistence</v>
          </cell>
        </row>
        <row r="12">
          <cell r="H12">
            <v>0.99</v>
          </cell>
          <cell r="I12" t="str">
            <v>Travel, accommodation and subsistence</v>
          </cell>
        </row>
        <row r="13">
          <cell r="H13">
            <v>1.52</v>
          </cell>
          <cell r="I13" t="str">
            <v>Travel, accommodation and subsistence</v>
          </cell>
        </row>
        <row r="14">
          <cell r="H14">
            <v>3.52</v>
          </cell>
          <cell r="I14" t="str">
            <v>Travel, accommodation and subsistence</v>
          </cell>
        </row>
        <row r="15">
          <cell r="H15">
            <v>0.99</v>
          </cell>
          <cell r="I15" t="str">
            <v>Travel, accommodation and subsistence</v>
          </cell>
        </row>
        <row r="16">
          <cell r="H16">
            <v>0.99</v>
          </cell>
          <cell r="I16" t="str">
            <v>Travel, accommodation and subsistence</v>
          </cell>
        </row>
        <row r="17">
          <cell r="H17">
            <v>2.69</v>
          </cell>
          <cell r="I17" t="str">
            <v>Travel, accommodation and subsistence</v>
          </cell>
        </row>
        <row r="18">
          <cell r="H18">
            <v>3.56</v>
          </cell>
          <cell r="I18" t="str">
            <v>Travel, accommodation and subsistence</v>
          </cell>
        </row>
        <row r="19">
          <cell r="H19">
            <v>0.99</v>
          </cell>
          <cell r="I19" t="str">
            <v>Travel, accommodation and subsistence</v>
          </cell>
        </row>
        <row r="20">
          <cell r="H20">
            <v>5.74</v>
          </cell>
          <cell r="I20" t="str">
            <v>Travel, accommodation and subsistence</v>
          </cell>
        </row>
        <row r="21">
          <cell r="H21">
            <v>14.34</v>
          </cell>
          <cell r="I21" t="str">
            <v>Travel, accommodation and subsistence</v>
          </cell>
        </row>
        <row r="22">
          <cell r="H22">
            <v>177.5</v>
          </cell>
          <cell r="I22" t="str">
            <v>Travel, accommodation and subsistence</v>
          </cell>
        </row>
        <row r="23">
          <cell r="H23">
            <v>0.99</v>
          </cell>
          <cell r="I23" t="str">
            <v>Travel, accommodation and subsistence</v>
          </cell>
        </row>
        <row r="24">
          <cell r="H24">
            <v>0.99</v>
          </cell>
          <cell r="I24" t="str">
            <v>Travel, accommodation and subsistence</v>
          </cell>
        </row>
        <row r="25">
          <cell r="H25">
            <v>4.4400000000000004</v>
          </cell>
          <cell r="I25" t="str">
            <v>Travel, accommodation and subsistence</v>
          </cell>
        </row>
        <row r="26">
          <cell r="H26">
            <v>2.42</v>
          </cell>
          <cell r="I26" t="str">
            <v>Travel, accommodation and subsistence</v>
          </cell>
        </row>
        <row r="27">
          <cell r="H27">
            <v>3.36</v>
          </cell>
          <cell r="I27" t="str">
            <v>Travel, accommodation and subsistence</v>
          </cell>
        </row>
        <row r="28">
          <cell r="H28">
            <v>72.34</v>
          </cell>
          <cell r="I28" t="str">
            <v>Travel, accommodation and subsistence</v>
          </cell>
        </row>
        <row r="29">
          <cell r="H29">
            <v>52.8</v>
          </cell>
          <cell r="I29" t="str">
            <v>Travel, accommodation and subsistence</v>
          </cell>
        </row>
        <row r="30">
          <cell r="H30">
            <v>11.22</v>
          </cell>
          <cell r="I30" t="str">
            <v>Travel, accommodation and subsistence</v>
          </cell>
        </row>
        <row r="31">
          <cell r="H31">
            <v>0.99</v>
          </cell>
          <cell r="I31" t="str">
            <v>Travel, accommodation and subsistence</v>
          </cell>
        </row>
        <row r="32">
          <cell r="H32">
            <v>0.99</v>
          </cell>
          <cell r="I32" t="str">
            <v>Travel, accommodation and subsistence</v>
          </cell>
        </row>
        <row r="33">
          <cell r="H33">
            <v>0.99</v>
          </cell>
          <cell r="I33" t="str">
            <v>Travel, accommodation and subsistence</v>
          </cell>
        </row>
        <row r="34">
          <cell r="H34">
            <v>2.15</v>
          </cell>
          <cell r="I34" t="str">
            <v>Travel, accommodation and subsistence</v>
          </cell>
        </row>
        <row r="35">
          <cell r="H35">
            <v>2.2400000000000002</v>
          </cell>
          <cell r="I35" t="str">
            <v>Travel, accommodation and subsistence</v>
          </cell>
        </row>
        <row r="36">
          <cell r="H36">
            <v>4.4000000000000004</v>
          </cell>
          <cell r="I36" t="str">
            <v>Travel, accommodation and subsistence</v>
          </cell>
        </row>
        <row r="37">
          <cell r="H37">
            <v>0.99</v>
          </cell>
          <cell r="I37" t="str">
            <v>Travel, accommodation and subsistence</v>
          </cell>
        </row>
        <row r="38">
          <cell r="H38">
            <v>0.99</v>
          </cell>
          <cell r="I38" t="str">
            <v>Travel, accommodation and subsistence</v>
          </cell>
        </row>
        <row r="39">
          <cell r="H39">
            <v>3.77</v>
          </cell>
          <cell r="I39" t="str">
            <v>Travel, accommodation and subsistence</v>
          </cell>
        </row>
        <row r="40">
          <cell r="H40">
            <v>3.05</v>
          </cell>
          <cell r="I40" t="str">
            <v>Travel, accommodation and subsistence</v>
          </cell>
        </row>
        <row r="41">
          <cell r="H41">
            <v>3.93</v>
          </cell>
          <cell r="I41" t="str">
            <v>Travel, accommodation and subsistence</v>
          </cell>
        </row>
        <row r="42">
          <cell r="H42">
            <v>0.99</v>
          </cell>
          <cell r="I42" t="str">
            <v>Travel, accommodation and subsistence</v>
          </cell>
        </row>
        <row r="43">
          <cell r="H43">
            <v>0.99</v>
          </cell>
          <cell r="I43" t="str">
            <v>Travel, accommodation and subsistence</v>
          </cell>
        </row>
        <row r="44">
          <cell r="H44">
            <v>2.06</v>
          </cell>
          <cell r="I44" t="str">
            <v>Travel, accommodation and subsistence</v>
          </cell>
        </row>
        <row r="45">
          <cell r="H45">
            <v>2.63</v>
          </cell>
          <cell r="I45" t="str">
            <v>Travel, accommodation and subsistence</v>
          </cell>
        </row>
        <row r="46">
          <cell r="H46">
            <v>3.37</v>
          </cell>
          <cell r="I46" t="str">
            <v>Travel, accommodation and subsistence</v>
          </cell>
        </row>
        <row r="47">
          <cell r="F47">
            <v>431.28000000000009</v>
          </cell>
          <cell r="G47">
            <v>12.66</v>
          </cell>
        </row>
      </sheetData>
      <sheetData sheetId="31">
        <row r="7">
          <cell r="H7">
            <v>7.8199999999999994</v>
          </cell>
          <cell r="I7" t="str">
            <v>Printing, postage and stationery</v>
          </cell>
        </row>
        <row r="8">
          <cell r="H8">
            <v>6.43</v>
          </cell>
          <cell r="I8" t="str">
            <v>Printing, postage and stationery</v>
          </cell>
        </row>
        <row r="9">
          <cell r="H9">
            <v>5.05</v>
          </cell>
          <cell r="I9" t="str">
            <v>Travel, accommodation and subsistence</v>
          </cell>
        </row>
        <row r="10">
          <cell r="H10">
            <v>11.24</v>
          </cell>
          <cell r="I10" t="str">
            <v>Travel, accommodation and subsistence</v>
          </cell>
        </row>
        <row r="11">
          <cell r="H11">
            <v>0.99</v>
          </cell>
          <cell r="I11" t="str">
            <v>Travel, accommodation and subsistence</v>
          </cell>
        </row>
        <row r="12">
          <cell r="H12">
            <v>5.87</v>
          </cell>
          <cell r="I12" t="str">
            <v>Travel, accommodation and subsistence</v>
          </cell>
        </row>
        <row r="13">
          <cell r="H13">
            <v>4.45</v>
          </cell>
          <cell r="I13" t="str">
            <v>Travel, accommodation and subsistence</v>
          </cell>
        </row>
        <row r="14">
          <cell r="H14">
            <v>0.99</v>
          </cell>
          <cell r="I14" t="str">
            <v>Travel, accommodation and subsistence</v>
          </cell>
        </row>
        <row r="15">
          <cell r="H15">
            <v>0.99</v>
          </cell>
          <cell r="I15" t="str">
            <v>Travel, accommodation and subsistence</v>
          </cell>
        </row>
        <row r="16">
          <cell r="H16">
            <v>2.88</v>
          </cell>
          <cell r="I16" t="str">
            <v>Travel, accommodation and subsistence</v>
          </cell>
        </row>
        <row r="17">
          <cell r="H17">
            <v>2.4500000000000002</v>
          </cell>
          <cell r="I17" t="str">
            <v>Travel, accommodation and subsistence</v>
          </cell>
        </row>
        <row r="18">
          <cell r="H18">
            <v>0.99</v>
          </cell>
          <cell r="I18" t="str">
            <v>Travel, accommodation and subsistence</v>
          </cell>
        </row>
        <row r="19">
          <cell r="H19">
            <v>0.99</v>
          </cell>
          <cell r="I19" t="str">
            <v>Travel, accommodation and subsistence</v>
          </cell>
        </row>
        <row r="20">
          <cell r="H20">
            <v>2.16</v>
          </cell>
          <cell r="I20" t="str">
            <v>Travel, accommodation and subsistence</v>
          </cell>
        </row>
        <row r="21">
          <cell r="H21">
            <v>2.83</v>
          </cell>
          <cell r="I21" t="str">
            <v>Travel, accommodation and subsistence</v>
          </cell>
        </row>
        <row r="22">
          <cell r="H22">
            <v>3.55</v>
          </cell>
          <cell r="I22" t="str">
            <v>Travel, accommodation and subsistence</v>
          </cell>
        </row>
        <row r="23">
          <cell r="H23">
            <v>133.54</v>
          </cell>
          <cell r="I23" t="str">
            <v>Travel, accommodation and subsistence</v>
          </cell>
        </row>
        <row r="24">
          <cell r="H24">
            <v>0.99</v>
          </cell>
          <cell r="I24" t="str">
            <v>Travel, accommodation and subsistence</v>
          </cell>
        </row>
        <row r="25">
          <cell r="H25">
            <v>0.99</v>
          </cell>
          <cell r="I25" t="str">
            <v>Travel, accommodation and subsistence</v>
          </cell>
        </row>
        <row r="26">
          <cell r="H26">
            <v>1.93</v>
          </cell>
          <cell r="I26" t="str">
            <v>Travel, accommodation and subsistence</v>
          </cell>
        </row>
        <row r="27">
          <cell r="H27">
            <v>3.37</v>
          </cell>
          <cell r="I27" t="str">
            <v>Travel, accommodation and subsistence</v>
          </cell>
        </row>
        <row r="28">
          <cell r="H28">
            <v>57.87</v>
          </cell>
          <cell r="I28" t="str">
            <v>Travel, accommodation and subsistence</v>
          </cell>
        </row>
        <row r="29">
          <cell r="H29">
            <v>53.6</v>
          </cell>
          <cell r="I29" t="str">
            <v>Motor Travel</v>
          </cell>
        </row>
        <row r="30">
          <cell r="H30">
            <v>1350.9399999999998</v>
          </cell>
          <cell r="I30" t="str">
            <v>Accountancy fees</v>
          </cell>
        </row>
        <row r="31">
          <cell r="H31">
            <v>411.25</v>
          </cell>
          <cell r="I31" t="str">
            <v>Sundry expenses</v>
          </cell>
        </row>
        <row r="32">
          <cell r="H32">
            <v>5.05</v>
          </cell>
          <cell r="I32" t="str">
            <v>Travel, accommodation and subsistence</v>
          </cell>
        </row>
        <row r="33">
          <cell r="H33">
            <v>11.39</v>
          </cell>
          <cell r="I33" t="str">
            <v>Travel, accommodation and subsistence</v>
          </cell>
        </row>
        <row r="34">
          <cell r="H34">
            <v>1</v>
          </cell>
          <cell r="I34" t="str">
            <v>Travel, accommodation and subsistence</v>
          </cell>
        </row>
        <row r="35">
          <cell r="H35">
            <v>4.53</v>
          </cell>
          <cell r="I35" t="str">
            <v>Travel, accommodation and subsistence</v>
          </cell>
        </row>
        <row r="36">
          <cell r="H36">
            <v>1</v>
          </cell>
          <cell r="I36" t="str">
            <v>Travel, accommodation and subsistence</v>
          </cell>
        </row>
        <row r="37">
          <cell r="H37">
            <v>2.1</v>
          </cell>
          <cell r="I37" t="str">
            <v>Travel, accommodation and subsistence</v>
          </cell>
        </row>
        <row r="38">
          <cell r="H38">
            <v>14.57</v>
          </cell>
          <cell r="I38" t="str">
            <v>Travel, accommodation and subsistence</v>
          </cell>
        </row>
        <row r="39">
          <cell r="H39">
            <v>1</v>
          </cell>
          <cell r="I39" t="str">
            <v>Travel, accommodation and subsistence</v>
          </cell>
        </row>
        <row r="40">
          <cell r="H40">
            <v>1</v>
          </cell>
          <cell r="I40" t="str">
            <v>Travel, accommodation and subsistence</v>
          </cell>
        </row>
        <row r="41">
          <cell r="H41">
            <v>6.31</v>
          </cell>
          <cell r="I41" t="str">
            <v>Travel, accommodation and subsistence</v>
          </cell>
        </row>
        <row r="42">
          <cell r="H42">
            <v>6.65</v>
          </cell>
          <cell r="I42" t="str">
            <v>Travel, accommodation and subsistence</v>
          </cell>
        </row>
        <row r="43">
          <cell r="H43">
            <v>1</v>
          </cell>
          <cell r="I43" t="str">
            <v>Travel, accommodation and subsistence</v>
          </cell>
        </row>
        <row r="44">
          <cell r="H44">
            <v>1</v>
          </cell>
          <cell r="I44" t="str">
            <v>Travel, accommodation and subsistence</v>
          </cell>
        </row>
        <row r="45">
          <cell r="H45">
            <v>5.01</v>
          </cell>
          <cell r="I45" t="str">
            <v>Travel, accommodation and subsistence</v>
          </cell>
        </row>
        <row r="46">
          <cell r="H46">
            <v>1.23</v>
          </cell>
          <cell r="I46" t="str">
            <v>Travel, accommodation and subsistence</v>
          </cell>
        </row>
        <row r="47">
          <cell r="F47">
            <v>2384.9100000000003</v>
          </cell>
          <cell r="G47">
            <v>247.91</v>
          </cell>
        </row>
      </sheetData>
      <sheetData sheetId="32">
        <row r="7">
          <cell r="H7">
            <v>8.5</v>
          </cell>
          <cell r="I7" t="str">
            <v>Telephone &amp; Internet</v>
          </cell>
        </row>
        <row r="8">
          <cell r="H8">
            <v>47.66</v>
          </cell>
          <cell r="I8" t="str">
            <v>Printing, postage and stationery</v>
          </cell>
        </row>
        <row r="9">
          <cell r="H9">
            <v>21.6</v>
          </cell>
          <cell r="I9" t="str">
            <v>Motor Travel</v>
          </cell>
        </row>
        <row r="10">
          <cell r="H10">
            <v>19.57</v>
          </cell>
          <cell r="I10" t="str">
            <v>Sundry expenses</v>
          </cell>
        </row>
        <row r="11">
          <cell r="H11">
            <v>346.4</v>
          </cell>
          <cell r="I11" t="str">
            <v>Travel, accommodation and subsistence</v>
          </cell>
        </row>
        <row r="12">
          <cell r="H12">
            <v>8.3000000000000007</v>
          </cell>
          <cell r="I12" t="str">
            <v>Telephone &amp; Internet</v>
          </cell>
        </row>
        <row r="13">
          <cell r="H13">
            <v>22</v>
          </cell>
          <cell r="I13" t="str">
            <v>Motor Travel</v>
          </cell>
        </row>
        <row r="14">
          <cell r="H14">
            <v>21.6</v>
          </cell>
          <cell r="I14" t="str">
            <v>Motor Travel</v>
          </cell>
        </row>
        <row r="15">
          <cell r="H15">
            <v>22.8</v>
          </cell>
          <cell r="I15" t="str">
            <v>Motor Travel</v>
          </cell>
        </row>
        <row r="16">
          <cell r="H16">
            <v>22</v>
          </cell>
          <cell r="I16" t="str">
            <v>Motor Travel</v>
          </cell>
        </row>
        <row r="17">
          <cell r="H17">
            <v>76.5</v>
          </cell>
          <cell r="I17" t="str">
            <v>Entertaining</v>
          </cell>
        </row>
        <row r="18">
          <cell r="H18">
            <v>35.200000000000003</v>
          </cell>
          <cell r="I18" t="str">
            <v>Travel, accommodation and subsistence</v>
          </cell>
        </row>
        <row r="19">
          <cell r="H19">
            <v>285.31</v>
          </cell>
          <cell r="I19" t="str">
            <v>Travel, accommodation and subsistence</v>
          </cell>
        </row>
        <row r="20">
          <cell r="H20">
            <v>10.88</v>
          </cell>
          <cell r="I20" t="str">
            <v>Travel, accommodation and subsistence</v>
          </cell>
        </row>
        <row r="21">
          <cell r="H21">
            <v>57.87</v>
          </cell>
          <cell r="I21" t="str">
            <v>Travel, accommodation and subsistence</v>
          </cell>
        </row>
        <row r="22">
          <cell r="H22">
            <v>52.4</v>
          </cell>
          <cell r="I22" t="str">
            <v>Travel, accommodation and subsistence</v>
          </cell>
        </row>
        <row r="23">
          <cell r="H23">
            <v>18.48</v>
          </cell>
          <cell r="I23" t="str">
            <v>Telephone &amp; Internet</v>
          </cell>
        </row>
        <row r="24">
          <cell r="H24">
            <v>136.32</v>
          </cell>
          <cell r="I24" t="str">
            <v>Telephone &amp; Internet</v>
          </cell>
        </row>
        <row r="25">
          <cell r="H25">
            <v>0</v>
          </cell>
          <cell r="I25" t="str">
            <v>Travel, accommodation and subsistence</v>
          </cell>
        </row>
        <row r="26">
          <cell r="H26">
            <v>0</v>
          </cell>
          <cell r="I26" t="str">
            <v>Travel, accommodation and subsistence</v>
          </cell>
        </row>
        <row r="27">
          <cell r="H27">
            <v>0</v>
          </cell>
          <cell r="I27" t="str">
            <v>Travel, accommodation and subsistence</v>
          </cell>
        </row>
        <row r="28">
          <cell r="H28">
            <v>0</v>
          </cell>
          <cell r="I28" t="str">
            <v>Motor Travel</v>
          </cell>
        </row>
        <row r="29">
          <cell r="H29">
            <v>0</v>
          </cell>
          <cell r="I29" t="str">
            <v>Telephone &amp; Internet</v>
          </cell>
        </row>
        <row r="30">
          <cell r="H30">
            <v>0</v>
          </cell>
          <cell r="I30" t="str">
            <v>Motor Travel</v>
          </cell>
        </row>
        <row r="31">
          <cell r="H31">
            <v>0</v>
          </cell>
          <cell r="I31" t="str">
            <v>Motor Travel</v>
          </cell>
        </row>
        <row r="32">
          <cell r="H32">
            <v>0</v>
          </cell>
          <cell r="I32" t="str">
            <v>Travel, accommodation and subsistence</v>
          </cell>
        </row>
        <row r="33">
          <cell r="H33">
            <v>0</v>
          </cell>
          <cell r="I33" t="str">
            <v>Travel, accommodation and subsistence</v>
          </cell>
        </row>
        <row r="34">
          <cell r="H34">
            <v>0</v>
          </cell>
          <cell r="I34" t="str">
            <v>Travel, accommodation and subsistence</v>
          </cell>
        </row>
        <row r="35">
          <cell r="H35">
            <v>0</v>
          </cell>
          <cell r="I35" t="str">
            <v>Travel, accommodation and subsistence</v>
          </cell>
        </row>
        <row r="36">
          <cell r="H36">
            <v>0</v>
          </cell>
          <cell r="I36" t="str">
            <v>Travel, accommodation and subsistence</v>
          </cell>
        </row>
        <row r="37">
          <cell r="H37">
            <v>0</v>
          </cell>
          <cell r="I37" t="str">
            <v>Travel, accommodation and subsistence</v>
          </cell>
        </row>
        <row r="38">
          <cell r="H38">
            <v>0</v>
          </cell>
          <cell r="I38" t="str">
            <v>Travel, accommodation and subsistence</v>
          </cell>
        </row>
        <row r="39">
          <cell r="H39">
            <v>0</v>
          </cell>
          <cell r="I39" t="str">
            <v>Travel, accommodation and subsistence</v>
          </cell>
        </row>
        <row r="40">
          <cell r="H40">
            <v>0</v>
          </cell>
          <cell r="I40" t="str">
            <v>Travel, accommodation and subsistence</v>
          </cell>
        </row>
        <row r="41">
          <cell r="H41">
            <v>0</v>
          </cell>
          <cell r="I41" t="str">
            <v>Travel, accommodation and subsistence</v>
          </cell>
        </row>
        <row r="42">
          <cell r="H42">
            <v>0</v>
          </cell>
          <cell r="I42" t="str">
            <v>Motor Travel</v>
          </cell>
        </row>
        <row r="43">
          <cell r="H43">
            <v>0</v>
          </cell>
          <cell r="I43" t="str">
            <v>Travel, accommodation and subsistence</v>
          </cell>
        </row>
        <row r="44">
          <cell r="H44">
            <v>0</v>
          </cell>
          <cell r="I44" t="str">
            <v>Motor Travel</v>
          </cell>
        </row>
        <row r="45">
          <cell r="H45">
            <v>0</v>
          </cell>
          <cell r="I45" t="str">
            <v>Travel, accommodation and subsistence</v>
          </cell>
        </row>
        <row r="46">
          <cell r="H46">
            <v>0</v>
          </cell>
          <cell r="I46" t="str">
            <v>Travel, accommodation and subsistence</v>
          </cell>
        </row>
        <row r="47">
          <cell r="F47">
            <v>1241.4600000000003</v>
          </cell>
          <cell r="G47">
            <v>28.07</v>
          </cell>
        </row>
      </sheetData>
      <sheetData sheetId="33">
        <row r="7">
          <cell r="H7">
            <v>21.6</v>
          </cell>
          <cell r="I7" t="str">
            <v>Motor Travel</v>
          </cell>
        </row>
        <row r="8">
          <cell r="H8">
            <v>21.6</v>
          </cell>
          <cell r="I8" t="str">
            <v>Motor Travel</v>
          </cell>
        </row>
        <row r="9">
          <cell r="H9">
            <v>186.4</v>
          </cell>
          <cell r="I9" t="str">
            <v>Travel, accommodation and subsistence</v>
          </cell>
        </row>
        <row r="10">
          <cell r="H10">
            <v>21.6</v>
          </cell>
          <cell r="I10" t="str">
            <v>Motor Travel</v>
          </cell>
        </row>
        <row r="11">
          <cell r="H11">
            <v>22</v>
          </cell>
          <cell r="I11" t="str">
            <v>Motor Travel</v>
          </cell>
        </row>
        <row r="12">
          <cell r="H12">
            <v>38.89</v>
          </cell>
          <cell r="I12" t="str">
            <v>Travel, accommodation and subsistence</v>
          </cell>
        </row>
        <row r="13">
          <cell r="H13">
            <v>13.58</v>
          </cell>
          <cell r="I13" t="str">
            <v>Entertaining</v>
          </cell>
        </row>
        <row r="14">
          <cell r="H14">
            <v>31.82</v>
          </cell>
          <cell r="I14" t="str">
            <v>Travel, accommodation and subsistence</v>
          </cell>
        </row>
        <row r="15">
          <cell r="H15">
            <v>407.29</v>
          </cell>
          <cell r="I15" t="str">
            <v>Travel, accommodation and subsistence</v>
          </cell>
        </row>
        <row r="16">
          <cell r="H16">
            <v>20.51</v>
          </cell>
          <cell r="I16" t="str">
            <v>Travel, accommodation and subsistence</v>
          </cell>
        </row>
        <row r="17">
          <cell r="H17">
            <v>31.82</v>
          </cell>
          <cell r="I17" t="str">
            <v>Travel, accommodation and subsistence</v>
          </cell>
        </row>
        <row r="18">
          <cell r="H18">
            <v>21.21</v>
          </cell>
          <cell r="I18" t="str">
            <v>Travel, accommodation and subsistence</v>
          </cell>
        </row>
        <row r="19">
          <cell r="H19">
            <v>12.02</v>
          </cell>
          <cell r="I19" t="str">
            <v>Travel, accommodation and subsistence</v>
          </cell>
        </row>
        <row r="20">
          <cell r="H20">
            <v>74.25</v>
          </cell>
          <cell r="I20" t="str">
            <v>Travel, accommodation and subsistence</v>
          </cell>
        </row>
        <row r="21">
          <cell r="H21">
            <v>12.52</v>
          </cell>
          <cell r="I21" t="str">
            <v>Entertaining</v>
          </cell>
        </row>
        <row r="22">
          <cell r="H22">
            <v>531.03</v>
          </cell>
          <cell r="I22" t="str">
            <v>Travel, accommodation and subsistence</v>
          </cell>
        </row>
        <row r="23">
          <cell r="H23">
            <v>21.21</v>
          </cell>
          <cell r="I23" t="str">
            <v>Travel, accommodation and subsistence</v>
          </cell>
        </row>
        <row r="24">
          <cell r="H24">
            <v>8.5</v>
          </cell>
          <cell r="I24" t="str">
            <v>Telephone &amp; Internet</v>
          </cell>
        </row>
        <row r="25">
          <cell r="H25">
            <v>9.8699999999999992</v>
          </cell>
          <cell r="I25" t="str">
            <v>Telephone &amp; Internet</v>
          </cell>
        </row>
        <row r="26">
          <cell r="H26">
            <v>54.830000000000005</v>
          </cell>
          <cell r="I26" t="str">
            <v>Telephone &amp; Internet</v>
          </cell>
        </row>
        <row r="27">
          <cell r="H27">
            <v>67.34</v>
          </cell>
          <cell r="I27" t="str">
            <v>Travel, accommodation and subsistence</v>
          </cell>
        </row>
        <row r="28">
          <cell r="H28">
            <v>15.2</v>
          </cell>
          <cell r="I28" t="str">
            <v>Motor Travel</v>
          </cell>
        </row>
        <row r="29">
          <cell r="H29">
            <v>52.74</v>
          </cell>
          <cell r="I29" t="str">
            <v>Travel, accommodation and subsistence</v>
          </cell>
        </row>
        <row r="30">
          <cell r="H30">
            <v>0</v>
          </cell>
          <cell r="I30" t="str">
            <v>Travel, accommodation and subsistence</v>
          </cell>
        </row>
        <row r="31">
          <cell r="H31">
            <v>0</v>
          </cell>
          <cell r="I31" t="str">
            <v>Telephone &amp; Internet</v>
          </cell>
        </row>
        <row r="32">
          <cell r="H32">
            <v>0</v>
          </cell>
          <cell r="I32" t="str">
            <v>Telephone &amp; Internet</v>
          </cell>
        </row>
        <row r="33">
          <cell r="H33">
            <v>0</v>
          </cell>
          <cell r="I33" t="str">
            <v>Software &amp; IT Consumables</v>
          </cell>
        </row>
        <row r="34">
          <cell r="H34">
            <v>0</v>
          </cell>
          <cell r="I34" t="str">
            <v>Telephone &amp; Internet</v>
          </cell>
        </row>
        <row r="35">
          <cell r="H35">
            <v>0</v>
          </cell>
          <cell r="I35" t="str">
            <v>Telephone &amp; Internet</v>
          </cell>
        </row>
        <row r="36">
          <cell r="H36">
            <v>0</v>
          </cell>
          <cell r="I36" t="str">
            <v>Telephone &amp; Internet</v>
          </cell>
        </row>
        <row r="37">
          <cell r="H37">
            <v>0</v>
          </cell>
          <cell r="I37" t="str">
            <v>Printing, postage and stationery</v>
          </cell>
        </row>
        <row r="38">
          <cell r="H38">
            <v>0</v>
          </cell>
          <cell r="I38" t="str">
            <v>Travel, accommodation and subsistence</v>
          </cell>
        </row>
        <row r="39">
          <cell r="H39">
            <v>0</v>
          </cell>
          <cell r="I39" t="str">
            <v>Travel, accommodation and subsistence</v>
          </cell>
        </row>
        <row r="40">
          <cell r="H40">
            <v>0</v>
          </cell>
          <cell r="I40" t="str">
            <v>Travel, accommodation and subsistence</v>
          </cell>
        </row>
        <row r="41">
          <cell r="H41">
            <v>0</v>
          </cell>
          <cell r="I41" t="str">
            <v>Travel, accommodation and subsistence</v>
          </cell>
        </row>
        <row r="42">
          <cell r="H42">
            <v>0</v>
          </cell>
          <cell r="I42" t="str">
            <v>Motor Travel</v>
          </cell>
        </row>
        <row r="43">
          <cell r="H43">
            <v>0</v>
          </cell>
          <cell r="I43" t="str">
            <v>Travel, accommodation and subsistence</v>
          </cell>
        </row>
        <row r="44">
          <cell r="H44">
            <v>0</v>
          </cell>
          <cell r="I44" t="str">
            <v>Motor Travel</v>
          </cell>
        </row>
        <row r="45">
          <cell r="H45">
            <v>0</v>
          </cell>
          <cell r="I45" t="str">
            <v>Travel, accommodation and subsistence</v>
          </cell>
        </row>
        <row r="46">
          <cell r="H46">
            <v>0</v>
          </cell>
          <cell r="I46" t="str">
            <v>Travel, accommodation and subsistence</v>
          </cell>
        </row>
        <row r="47">
          <cell r="F47">
            <v>1710.6499999999999</v>
          </cell>
          <cell r="G47">
            <v>12.82</v>
          </cell>
        </row>
      </sheetData>
      <sheetData sheetId="34">
        <row r="7">
          <cell r="H7">
            <v>202.51</v>
          </cell>
          <cell r="I7" t="str">
            <v>Travel, accommodation and subsistence</v>
          </cell>
        </row>
        <row r="8">
          <cell r="H8">
            <v>52.74</v>
          </cell>
          <cell r="I8" t="str">
            <v>Travel, accommodation and subsistence</v>
          </cell>
        </row>
        <row r="9">
          <cell r="H9">
            <v>45.96</v>
          </cell>
          <cell r="I9" t="str">
            <v>Travel, accommodation and subsistence</v>
          </cell>
        </row>
        <row r="10">
          <cell r="H10">
            <v>16</v>
          </cell>
          <cell r="I10" t="str">
            <v>Motor Travel</v>
          </cell>
        </row>
        <row r="11">
          <cell r="H11">
            <v>1235</v>
          </cell>
          <cell r="I11" t="str">
            <v>Travel, accommodation and subsistence</v>
          </cell>
        </row>
        <row r="12">
          <cell r="H12">
            <v>247.36</v>
          </cell>
          <cell r="I12" t="str">
            <v>Travel, accommodation and subsistence</v>
          </cell>
        </row>
        <row r="13">
          <cell r="H13">
            <v>3.95</v>
          </cell>
          <cell r="I13" t="str">
            <v>Travel, accommodation and subsistence</v>
          </cell>
        </row>
        <row r="14">
          <cell r="H14">
            <v>6.4</v>
          </cell>
          <cell r="I14" t="str">
            <v>Travel, accommodation and subsistence</v>
          </cell>
        </row>
        <row r="15">
          <cell r="H15">
            <v>21.96</v>
          </cell>
          <cell r="I15" t="str">
            <v>Entertaining</v>
          </cell>
        </row>
        <row r="16">
          <cell r="H16">
            <v>52</v>
          </cell>
          <cell r="I16" t="str">
            <v>Entertaining</v>
          </cell>
        </row>
        <row r="17">
          <cell r="H17">
            <v>17.34</v>
          </cell>
          <cell r="I17" t="str">
            <v>Travel, accommodation and subsistence</v>
          </cell>
        </row>
        <row r="18">
          <cell r="H18">
            <v>359.29</v>
          </cell>
          <cell r="I18" t="str">
            <v>Travel, accommodation and subsistence</v>
          </cell>
        </row>
        <row r="19">
          <cell r="H19">
            <v>15.2</v>
          </cell>
          <cell r="I19" t="str">
            <v>Motor Travel</v>
          </cell>
        </row>
        <row r="20">
          <cell r="H20">
            <v>52.57</v>
          </cell>
          <cell r="I20" t="str">
            <v>Travel, accommodation and subsistence</v>
          </cell>
        </row>
        <row r="21">
          <cell r="H21">
            <v>11.21</v>
          </cell>
          <cell r="I21" t="str">
            <v>Travel, accommodation and subsistence</v>
          </cell>
        </row>
        <row r="22">
          <cell r="H22">
            <v>167.28</v>
          </cell>
          <cell r="I22" t="str">
            <v>Travel, accommodation and subsistence</v>
          </cell>
        </row>
        <row r="23">
          <cell r="H23">
            <v>8.41</v>
          </cell>
          <cell r="I23" t="str">
            <v>Travel, accommodation and subsistence</v>
          </cell>
        </row>
        <row r="24">
          <cell r="H24">
            <v>8.41</v>
          </cell>
          <cell r="I24" t="str">
            <v>Travel, accommodation and subsistence</v>
          </cell>
        </row>
        <row r="25">
          <cell r="H25">
            <v>438.35</v>
          </cell>
          <cell r="I25" t="str">
            <v>Travel, accommodation and subsistence</v>
          </cell>
        </row>
        <row r="26">
          <cell r="H26">
            <v>52.57</v>
          </cell>
          <cell r="I26" t="str">
            <v>Travel, accommodation and subsistence</v>
          </cell>
        </row>
        <row r="27">
          <cell r="H27">
            <v>76.599999999999994</v>
          </cell>
          <cell r="I27" t="str">
            <v>Travel, accommodation and subsistence</v>
          </cell>
        </row>
        <row r="28">
          <cell r="H28">
            <v>16</v>
          </cell>
          <cell r="I28" t="str">
            <v>Motor Travel</v>
          </cell>
        </row>
        <row r="29">
          <cell r="H29">
            <v>8.5</v>
          </cell>
          <cell r="I29" t="str">
            <v>Telephone &amp; Internet</v>
          </cell>
        </row>
        <row r="30">
          <cell r="H30">
            <v>58.8</v>
          </cell>
          <cell r="I30" t="str">
            <v>Motor Travel</v>
          </cell>
        </row>
        <row r="31">
          <cell r="H31">
            <v>15.2</v>
          </cell>
          <cell r="I31" t="str">
            <v>Motor Travel</v>
          </cell>
        </row>
        <row r="32">
          <cell r="H32">
            <v>52.37</v>
          </cell>
          <cell r="I32" t="str">
            <v>Travel, accommodation and subsistence</v>
          </cell>
        </row>
        <row r="33">
          <cell r="H33">
            <v>12.57</v>
          </cell>
          <cell r="I33" t="str">
            <v>Travel, accommodation and subsistence</v>
          </cell>
        </row>
        <row r="34">
          <cell r="H34">
            <v>13.97</v>
          </cell>
          <cell r="I34" t="str">
            <v>Travel, accommodation and subsistence</v>
          </cell>
        </row>
        <row r="35">
          <cell r="H35">
            <v>3.94</v>
          </cell>
          <cell r="I35" t="str">
            <v>Travel, accommodation and subsistence</v>
          </cell>
        </row>
        <row r="36">
          <cell r="H36">
            <v>12.57</v>
          </cell>
          <cell r="I36" t="str">
            <v>Travel, accommodation and subsistence</v>
          </cell>
        </row>
        <row r="37">
          <cell r="H37">
            <v>3.02</v>
          </cell>
          <cell r="I37" t="str">
            <v>Travel, accommodation and subsistence</v>
          </cell>
        </row>
        <row r="38">
          <cell r="H38">
            <v>5.52</v>
          </cell>
          <cell r="I38" t="str">
            <v>Travel, accommodation and subsistence</v>
          </cell>
        </row>
        <row r="39">
          <cell r="H39">
            <v>402.23</v>
          </cell>
          <cell r="I39" t="str">
            <v>Travel, accommodation and subsistence</v>
          </cell>
        </row>
        <row r="40">
          <cell r="H40">
            <v>52.37</v>
          </cell>
          <cell r="I40" t="str">
            <v>Travel, accommodation and subsistence</v>
          </cell>
        </row>
        <row r="41">
          <cell r="H41">
            <v>76.599999999999994</v>
          </cell>
          <cell r="I41" t="str">
            <v>Travel, accommodation and subsistence</v>
          </cell>
        </row>
        <row r="42">
          <cell r="H42">
            <v>16</v>
          </cell>
          <cell r="I42" t="str">
            <v>Motor Travel</v>
          </cell>
        </row>
        <row r="43">
          <cell r="H43">
            <v>57.28</v>
          </cell>
          <cell r="I43" t="str">
            <v>Travel, accommodation and subsistence</v>
          </cell>
        </row>
        <row r="44">
          <cell r="H44">
            <v>15.2</v>
          </cell>
          <cell r="I44" t="str">
            <v>Motor Travel</v>
          </cell>
        </row>
        <row r="45">
          <cell r="H45">
            <v>53.11</v>
          </cell>
          <cell r="I45" t="str">
            <v>Travel, accommodation and subsistence</v>
          </cell>
        </row>
        <row r="46">
          <cell r="H46">
            <v>5.08</v>
          </cell>
          <cell r="I46" t="str">
            <v>Travel, accommodation and subsistence</v>
          </cell>
        </row>
        <row r="47">
          <cell r="F47">
            <v>4007.77</v>
          </cell>
          <cell r="G47">
            <v>36.33</v>
          </cell>
        </row>
      </sheetData>
      <sheetData sheetId="35">
        <row r="7">
          <cell r="H7">
            <v>47.24</v>
          </cell>
          <cell r="I7" t="str">
            <v>Travel, accommodation and subsistence</v>
          </cell>
        </row>
        <row r="8">
          <cell r="H8">
            <v>7.8</v>
          </cell>
          <cell r="I8" t="str">
            <v>Travel, accommodation and subsistence</v>
          </cell>
        </row>
        <row r="9">
          <cell r="H9">
            <v>534.32000000000005</v>
          </cell>
          <cell r="I9" t="str">
            <v>Software &amp; IT Consumables</v>
          </cell>
        </row>
        <row r="10">
          <cell r="H10">
            <v>11</v>
          </cell>
          <cell r="I10" t="str">
            <v>Sundry expenses</v>
          </cell>
        </row>
        <row r="11">
          <cell r="H11">
            <v>53.15</v>
          </cell>
          <cell r="I11" t="str">
            <v>Travel, accommodation and subsistence</v>
          </cell>
        </row>
        <row r="12">
          <cell r="H12">
            <v>3.1</v>
          </cell>
          <cell r="I12" t="str">
            <v>Travel, accommodation and subsistence</v>
          </cell>
        </row>
        <row r="13">
          <cell r="H13">
            <v>4.96</v>
          </cell>
          <cell r="I13" t="str">
            <v>Travel, accommodation and subsistence</v>
          </cell>
        </row>
        <row r="14">
          <cell r="H14">
            <v>5.32</v>
          </cell>
          <cell r="I14" t="str">
            <v>Travel, accommodation and subsistence</v>
          </cell>
        </row>
        <row r="15">
          <cell r="H15">
            <v>2.72</v>
          </cell>
          <cell r="I15" t="str">
            <v>Travel, accommodation and subsistence</v>
          </cell>
        </row>
        <row r="16">
          <cell r="H16">
            <v>2.91</v>
          </cell>
          <cell r="I16" t="str">
            <v>Travel, accommodation and subsistence</v>
          </cell>
        </row>
        <row r="17">
          <cell r="H17">
            <v>12.05</v>
          </cell>
          <cell r="I17" t="str">
            <v>Travel, accommodation and subsistence</v>
          </cell>
        </row>
        <row r="18">
          <cell r="H18">
            <v>5.67</v>
          </cell>
          <cell r="I18" t="str">
            <v>Travel, accommodation and subsistence</v>
          </cell>
        </row>
        <row r="19">
          <cell r="H19">
            <v>2.98</v>
          </cell>
          <cell r="I19" t="str">
            <v>Travel, accommodation and subsistence</v>
          </cell>
        </row>
        <row r="20">
          <cell r="H20">
            <v>924.95</v>
          </cell>
          <cell r="I20" t="str">
            <v>Travel, accommodation and subsistence</v>
          </cell>
        </row>
        <row r="21">
          <cell r="H21">
            <v>53.15</v>
          </cell>
          <cell r="I21" t="str">
            <v>Travel, accommodation and subsistence</v>
          </cell>
        </row>
        <row r="22">
          <cell r="H22">
            <v>3.54</v>
          </cell>
          <cell r="I22" t="str">
            <v>Travel, accommodation and subsistence</v>
          </cell>
        </row>
        <row r="23">
          <cell r="H23">
            <v>8.5</v>
          </cell>
          <cell r="I23" t="str">
            <v>Telephone &amp; Internet</v>
          </cell>
        </row>
        <row r="24">
          <cell r="H24">
            <v>829</v>
          </cell>
          <cell r="I24" t="str">
            <v>Purchase of fixed assets</v>
          </cell>
        </row>
        <row r="25">
          <cell r="H25">
            <v>34.950000000000003</v>
          </cell>
          <cell r="I25" t="str">
            <v>Purchase of fixed assets</v>
          </cell>
        </row>
        <row r="26">
          <cell r="H26">
            <v>169.36</v>
          </cell>
          <cell r="I26" t="str">
            <v>Software &amp; IT Consumables</v>
          </cell>
        </row>
        <row r="27">
          <cell r="H27">
            <v>9.43</v>
          </cell>
          <cell r="I27" t="str">
            <v>Sundry expenses</v>
          </cell>
        </row>
        <row r="28">
          <cell r="H28">
            <v>14.95</v>
          </cell>
          <cell r="I28" t="str">
            <v>Sundry expenses</v>
          </cell>
        </row>
        <row r="29">
          <cell r="H29">
            <v>56.99</v>
          </cell>
          <cell r="I29" t="str">
            <v>Travel, accommodation and subsistence</v>
          </cell>
        </row>
        <row r="30">
          <cell r="H30">
            <v>64.47</v>
          </cell>
          <cell r="I30" t="str">
            <v>Travel, accommodation and subsistence</v>
          </cell>
        </row>
        <row r="31">
          <cell r="H31">
            <v>50</v>
          </cell>
          <cell r="I31" t="str">
            <v>Telephone &amp; Internet</v>
          </cell>
        </row>
        <row r="32">
          <cell r="H32">
            <v>18.709999999999997</v>
          </cell>
          <cell r="I32" t="str">
            <v>Telephone &amp; Internet</v>
          </cell>
        </row>
        <row r="33">
          <cell r="H33">
            <v>59.56</v>
          </cell>
          <cell r="I33" t="str">
            <v>Software &amp; IT Consumables</v>
          </cell>
        </row>
        <row r="34">
          <cell r="H34">
            <v>102.39</v>
          </cell>
          <cell r="I34" t="str">
            <v>Telephone &amp; Internet</v>
          </cell>
        </row>
        <row r="35">
          <cell r="H35">
            <v>58.7</v>
          </cell>
          <cell r="I35" t="str">
            <v>Telephone &amp; Internet</v>
          </cell>
        </row>
        <row r="36">
          <cell r="H36">
            <v>76.55</v>
          </cell>
          <cell r="I36" t="str">
            <v>Telephone &amp; Internet</v>
          </cell>
        </row>
        <row r="37">
          <cell r="H37">
            <v>6.12</v>
          </cell>
          <cell r="I37" t="str">
            <v>Printing, postage and stationery</v>
          </cell>
        </row>
        <row r="38">
          <cell r="H38">
            <v>6</v>
          </cell>
          <cell r="I38" t="str">
            <v>Travel, accommodation and subsistence</v>
          </cell>
        </row>
        <row r="39">
          <cell r="H39">
            <v>6.94</v>
          </cell>
          <cell r="I39" t="str">
            <v>Travel, accommodation and subsistence</v>
          </cell>
        </row>
        <row r="40">
          <cell r="H40">
            <v>100.14</v>
          </cell>
          <cell r="I40" t="str">
            <v>Travel, accommodation and subsistence</v>
          </cell>
        </row>
        <row r="41">
          <cell r="H41">
            <v>14.54</v>
          </cell>
          <cell r="I41" t="str">
            <v>Travel, accommodation and subsistence</v>
          </cell>
        </row>
        <row r="42">
          <cell r="H42">
            <v>0</v>
          </cell>
          <cell r="I42" t="str">
            <v>Motor Travel</v>
          </cell>
        </row>
        <row r="43">
          <cell r="H43">
            <v>0</v>
          </cell>
          <cell r="I43" t="str">
            <v>Travel, accommodation and subsistence</v>
          </cell>
        </row>
        <row r="44">
          <cell r="H44">
            <v>0</v>
          </cell>
          <cell r="I44" t="str">
            <v>Motor Travel</v>
          </cell>
        </row>
        <row r="45">
          <cell r="H45">
            <v>0</v>
          </cell>
          <cell r="I45" t="str">
            <v>Travel, accommodation and subsistence</v>
          </cell>
        </row>
        <row r="46">
          <cell r="H46">
            <v>0</v>
          </cell>
          <cell r="I46" t="str">
            <v>Travel, accommodation and subsistence</v>
          </cell>
        </row>
        <row r="47">
          <cell r="F47">
            <v>3699.0199999999991</v>
          </cell>
          <cell r="G47">
            <v>336.85999999999996</v>
          </cell>
        </row>
      </sheetData>
      <sheetData sheetId="36">
        <row r="7">
          <cell r="H7">
            <v>2.85</v>
          </cell>
          <cell r="I7" t="str">
            <v>Travel, accommodation and subsistence</v>
          </cell>
        </row>
        <row r="8">
          <cell r="H8">
            <v>12.83</v>
          </cell>
          <cell r="I8" t="str">
            <v>Travel, accommodation and subsistence</v>
          </cell>
        </row>
        <row r="9">
          <cell r="H9">
            <v>4.6399999999999997</v>
          </cell>
          <cell r="I9" t="str">
            <v>Travel, accommodation and subsistence</v>
          </cell>
        </row>
        <row r="10">
          <cell r="H10">
            <v>14.44</v>
          </cell>
          <cell r="I10" t="str">
            <v>Travel, accommodation and subsistence</v>
          </cell>
        </row>
        <row r="11">
          <cell r="H11">
            <v>346.17</v>
          </cell>
          <cell r="I11" t="str">
            <v>Travel, accommodation and subsistence</v>
          </cell>
        </row>
        <row r="12">
          <cell r="H12">
            <v>12.12</v>
          </cell>
          <cell r="I12" t="str">
            <v>Travel, accommodation and subsistence</v>
          </cell>
        </row>
        <row r="13">
          <cell r="H13">
            <v>3.29</v>
          </cell>
          <cell r="I13" t="str">
            <v>Travel, accommodation and subsistence</v>
          </cell>
        </row>
        <row r="14">
          <cell r="H14">
            <v>53.48</v>
          </cell>
          <cell r="I14" t="str">
            <v>Travel, accommodation and subsistence</v>
          </cell>
        </row>
        <row r="15">
          <cell r="H15">
            <v>3.57</v>
          </cell>
          <cell r="I15" t="str">
            <v>Travel, accommodation and subsistence</v>
          </cell>
        </row>
        <row r="16">
          <cell r="H16">
            <v>50</v>
          </cell>
          <cell r="I16" t="str">
            <v>Travel, accommodation and subsistence</v>
          </cell>
        </row>
        <row r="17">
          <cell r="H17">
            <v>144.97999999999999</v>
          </cell>
          <cell r="I17" t="str">
            <v>Travel, accommodation and subsistence</v>
          </cell>
        </row>
        <row r="18">
          <cell r="H18">
            <v>4.24</v>
          </cell>
          <cell r="I18" t="str">
            <v>Travel, accommodation and subsistence</v>
          </cell>
        </row>
        <row r="19">
          <cell r="H19">
            <v>2.38</v>
          </cell>
          <cell r="I19" t="str">
            <v>Travel, accommodation and subsistence</v>
          </cell>
        </row>
        <row r="20">
          <cell r="H20">
            <v>33.299999999999997</v>
          </cell>
          <cell r="I20" t="str">
            <v>Travel, accommodation and subsistence</v>
          </cell>
        </row>
        <row r="21">
          <cell r="H21">
            <v>21.41</v>
          </cell>
          <cell r="I21" t="str">
            <v>Travel, accommodation and subsistence</v>
          </cell>
        </row>
        <row r="22">
          <cell r="H22">
            <v>177.63</v>
          </cell>
          <cell r="I22" t="str">
            <v>Travel, accommodation and subsistence</v>
          </cell>
        </row>
        <row r="23">
          <cell r="H23">
            <v>35.68</v>
          </cell>
          <cell r="I23" t="str">
            <v>Travel, accommodation and subsistence</v>
          </cell>
        </row>
        <row r="24">
          <cell r="H24">
            <v>3.33</v>
          </cell>
          <cell r="I24" t="str">
            <v>Travel, accommodation and subsistence</v>
          </cell>
        </row>
        <row r="25">
          <cell r="H25">
            <v>44.68</v>
          </cell>
          <cell r="I25" t="str">
            <v>Travel, accommodation and subsistence</v>
          </cell>
        </row>
        <row r="26">
          <cell r="H26">
            <v>44.4</v>
          </cell>
          <cell r="I26" t="str">
            <v>Motor Travel</v>
          </cell>
        </row>
        <row r="27">
          <cell r="H27">
            <v>167.56</v>
          </cell>
          <cell r="I27" t="str">
            <v>Travel, accommodation and subsistence</v>
          </cell>
        </row>
        <row r="28">
          <cell r="H28">
            <v>18.709999999999997</v>
          </cell>
          <cell r="I28" t="str">
            <v>Telephone &amp; Internet</v>
          </cell>
        </row>
        <row r="29">
          <cell r="H29">
            <v>84.26</v>
          </cell>
          <cell r="I29" t="str">
            <v>Sundry expenses</v>
          </cell>
        </row>
        <row r="30">
          <cell r="H30">
            <v>414.5</v>
          </cell>
          <cell r="I30" t="str">
            <v>Travel, accommodation and subsistence</v>
          </cell>
        </row>
        <row r="31">
          <cell r="H31">
            <v>53.81</v>
          </cell>
          <cell r="I31" t="str">
            <v>Travel, accommodation and subsistence</v>
          </cell>
        </row>
        <row r="32">
          <cell r="H32">
            <v>3.16</v>
          </cell>
          <cell r="I32" t="str">
            <v>Travel, accommodation and subsistence</v>
          </cell>
        </row>
        <row r="33">
          <cell r="H33">
            <v>2.2400000000000002</v>
          </cell>
          <cell r="I33" t="str">
            <v>Travel, accommodation and subsistence</v>
          </cell>
        </row>
        <row r="34">
          <cell r="H34">
            <v>212</v>
          </cell>
          <cell r="I34" t="str">
            <v>Travel, accommodation and subsistence</v>
          </cell>
        </row>
        <row r="35">
          <cell r="H35">
            <v>20.8</v>
          </cell>
          <cell r="I35" t="str">
            <v>Travel, accommodation and subsistence</v>
          </cell>
        </row>
        <row r="36">
          <cell r="H36">
            <v>3.26</v>
          </cell>
          <cell r="I36" t="str">
            <v>Travel, accommodation and subsistence</v>
          </cell>
        </row>
        <row r="37">
          <cell r="H37">
            <v>2.33</v>
          </cell>
          <cell r="I37" t="str">
            <v>Travel, accommodation and subsistence</v>
          </cell>
        </row>
        <row r="38">
          <cell r="H38">
            <v>33.96</v>
          </cell>
          <cell r="I38" t="str">
            <v>Travel, accommodation and subsistence</v>
          </cell>
        </row>
        <row r="39">
          <cell r="H39">
            <v>74.430000000000007</v>
          </cell>
          <cell r="I39" t="str">
            <v>Travel, accommodation and subsistence</v>
          </cell>
        </row>
        <row r="40">
          <cell r="H40">
            <v>7.07</v>
          </cell>
          <cell r="I40" t="str">
            <v>Travel, accommodation and subsistence</v>
          </cell>
        </row>
        <row r="41">
          <cell r="H41">
            <v>36.75</v>
          </cell>
          <cell r="I41" t="str">
            <v>Travel, accommodation and subsistence</v>
          </cell>
        </row>
        <row r="42">
          <cell r="H42">
            <v>129.79</v>
          </cell>
          <cell r="I42" t="str">
            <v>Travel, accommodation and subsistence</v>
          </cell>
        </row>
        <row r="43">
          <cell r="H43">
            <v>2.14</v>
          </cell>
          <cell r="I43" t="str">
            <v>Travel, accommodation and subsistence</v>
          </cell>
        </row>
        <row r="44">
          <cell r="H44">
            <v>2.33</v>
          </cell>
          <cell r="I44" t="str">
            <v>Travel, accommodation and subsistence</v>
          </cell>
        </row>
        <row r="45">
          <cell r="H45">
            <v>21.52</v>
          </cell>
          <cell r="I45" t="str">
            <v>Travel, accommodation and subsistence</v>
          </cell>
        </row>
        <row r="46">
          <cell r="H46">
            <v>1.99</v>
          </cell>
          <cell r="I46" t="str">
            <v>Travel, accommodation and subsistence</v>
          </cell>
        </row>
        <row r="47">
          <cell r="F47">
            <v>2333.8699999999994</v>
          </cell>
          <cell r="G47">
            <v>25.84</v>
          </cell>
        </row>
      </sheetData>
      <sheetData sheetId="37">
        <row r="5">
          <cell r="D5" t="str">
            <v>Cassel Consulting Limited</v>
          </cell>
        </row>
        <row r="7">
          <cell r="H7">
            <v>191.56</v>
          </cell>
          <cell r="I7" t="str">
            <v>Travel, accommodation and subsistence</v>
          </cell>
        </row>
        <row r="8">
          <cell r="H8">
            <v>132.56</v>
          </cell>
          <cell r="I8" t="str">
            <v>Travel, accommodation and subsistence</v>
          </cell>
        </row>
        <row r="9">
          <cell r="H9">
            <v>145.9</v>
          </cell>
          <cell r="I9" t="str">
            <v>Travel, accommodation and subsistence</v>
          </cell>
        </row>
        <row r="10">
          <cell r="H10">
            <v>54.34</v>
          </cell>
          <cell r="I10" t="str">
            <v>Travel, accommodation and subsistence</v>
          </cell>
        </row>
        <row r="11">
          <cell r="H11">
            <v>389.05</v>
          </cell>
          <cell r="I11" t="str">
            <v>Travel, accommodation and subsistence</v>
          </cell>
        </row>
        <row r="12">
          <cell r="H12">
            <v>61.28</v>
          </cell>
          <cell r="I12" t="str">
            <v>Travel, accommodation and subsistence</v>
          </cell>
        </row>
        <row r="13">
          <cell r="H13">
            <v>31.6</v>
          </cell>
          <cell r="I13" t="str">
            <v>Motor Travel</v>
          </cell>
        </row>
        <row r="14">
          <cell r="H14">
            <v>18.709999999999997</v>
          </cell>
          <cell r="I14" t="str">
            <v>Telephone &amp; Internet</v>
          </cell>
        </row>
        <row r="15">
          <cell r="H15">
            <v>144.9</v>
          </cell>
          <cell r="I15" t="str">
            <v>Travel, accommodation and subsistence</v>
          </cell>
        </row>
        <row r="16">
          <cell r="H16">
            <v>2.2400000000000002</v>
          </cell>
          <cell r="I16" t="str">
            <v>Travel, accommodation and subsistence</v>
          </cell>
        </row>
        <row r="17">
          <cell r="H17">
            <v>11.94</v>
          </cell>
          <cell r="I17" t="str">
            <v>Travel, accommodation and subsistence</v>
          </cell>
        </row>
        <row r="18">
          <cell r="H18">
            <v>27.17</v>
          </cell>
          <cell r="I18" t="str">
            <v>Travel, accommodation and subsistence</v>
          </cell>
        </row>
        <row r="19">
          <cell r="H19">
            <v>3.98</v>
          </cell>
          <cell r="I19" t="str">
            <v>Travel, accommodation and subsistence</v>
          </cell>
        </row>
        <row r="20">
          <cell r="H20">
            <v>14.49</v>
          </cell>
          <cell r="I20" t="str">
            <v>Travel, accommodation and subsistence</v>
          </cell>
        </row>
        <row r="21">
          <cell r="H21">
            <v>4.16</v>
          </cell>
          <cell r="I21" t="str">
            <v>Travel, accommodation and subsistence</v>
          </cell>
        </row>
        <row r="22">
          <cell r="H22">
            <v>86.94</v>
          </cell>
          <cell r="I22" t="str">
            <v>Entertaining</v>
          </cell>
        </row>
        <row r="23">
          <cell r="H23">
            <v>427.66</v>
          </cell>
          <cell r="I23" t="str">
            <v>Travel, accommodation and subsistence</v>
          </cell>
        </row>
        <row r="24">
          <cell r="H24">
            <v>13.04</v>
          </cell>
          <cell r="I24" t="str">
            <v>Travel, accommodation and subsistence</v>
          </cell>
        </row>
        <row r="25">
          <cell r="H25">
            <v>76.599999999999994</v>
          </cell>
          <cell r="I25" t="str">
            <v>Travel, accommodation and subsistence</v>
          </cell>
        </row>
        <row r="26">
          <cell r="H26">
            <v>32.799999999999997</v>
          </cell>
          <cell r="I26" t="str">
            <v>Motor Travel</v>
          </cell>
        </row>
        <row r="27">
          <cell r="H27">
            <v>354.1</v>
          </cell>
          <cell r="I27" t="str">
            <v>Travel, accommodation and subsistence</v>
          </cell>
        </row>
        <row r="28">
          <cell r="H28">
            <v>12.48</v>
          </cell>
          <cell r="I28" t="str">
            <v>Travel, accommodation and subsistence</v>
          </cell>
        </row>
        <row r="29">
          <cell r="H29">
            <v>4.8099999999999996</v>
          </cell>
          <cell r="I29" t="str">
            <v>Travel, accommodation and subsistence</v>
          </cell>
        </row>
        <row r="30">
          <cell r="H30">
            <v>0.99</v>
          </cell>
          <cell r="I30" t="str">
            <v>Travel, accommodation and subsistence</v>
          </cell>
        </row>
        <row r="31">
          <cell r="H31">
            <v>11</v>
          </cell>
          <cell r="I31" t="str">
            <v>Travel, accommodation and subsistence</v>
          </cell>
        </row>
        <row r="32">
          <cell r="H32">
            <v>110.09</v>
          </cell>
          <cell r="I32" t="str">
            <v>Entertaining</v>
          </cell>
        </row>
        <row r="33">
          <cell r="H33">
            <v>323.3</v>
          </cell>
          <cell r="I33" t="str">
            <v>Travel, accommodation and subsistence</v>
          </cell>
        </row>
        <row r="34">
          <cell r="H34">
            <v>11.74</v>
          </cell>
          <cell r="I34" t="str">
            <v>Travel, accommodation and subsistence</v>
          </cell>
        </row>
        <row r="35">
          <cell r="H35">
            <v>57.87</v>
          </cell>
          <cell r="I35" t="str">
            <v>Travel, accommodation and subsistence</v>
          </cell>
        </row>
        <row r="36">
          <cell r="H36">
            <v>52.8</v>
          </cell>
          <cell r="I36" t="str">
            <v>Motor Travel</v>
          </cell>
        </row>
        <row r="37">
          <cell r="H37">
            <v>210.59</v>
          </cell>
          <cell r="I37" t="str">
            <v>Travel, accommodation and subsistence</v>
          </cell>
        </row>
        <row r="38">
          <cell r="H38">
            <v>57.87</v>
          </cell>
          <cell r="I38" t="str">
            <v>Travel, accommodation and subsistence</v>
          </cell>
        </row>
        <row r="39">
          <cell r="H39">
            <v>53.2</v>
          </cell>
          <cell r="I39" t="str">
            <v>Motor Travel</v>
          </cell>
        </row>
        <row r="40">
          <cell r="H40">
            <v>151.69</v>
          </cell>
          <cell r="I40" t="str">
            <v>Telephone &amp; Internet</v>
          </cell>
        </row>
        <row r="41">
          <cell r="H41">
            <v>399.37</v>
          </cell>
          <cell r="I41" t="str">
            <v>Telephone &amp; Internet</v>
          </cell>
        </row>
        <row r="42">
          <cell r="H42">
            <v>0</v>
          </cell>
          <cell r="I42" t="str">
            <v>Travel, accommodation and subsistence</v>
          </cell>
        </row>
        <row r="43">
          <cell r="H43">
            <v>0</v>
          </cell>
          <cell r="I43" t="str">
            <v>Travel, accommodation and subsistence</v>
          </cell>
        </row>
        <row r="44">
          <cell r="H44">
            <v>0</v>
          </cell>
          <cell r="I44" t="str">
            <v>Travel, accommodation and subsistence</v>
          </cell>
        </row>
        <row r="45">
          <cell r="H45">
            <v>0</v>
          </cell>
          <cell r="I45" t="str">
            <v>Travel, accommodation and subsistence</v>
          </cell>
        </row>
        <row r="46">
          <cell r="H46">
            <v>0</v>
          </cell>
          <cell r="I46" t="str">
            <v>Travel, accommodation and subsistence</v>
          </cell>
        </row>
        <row r="47">
          <cell r="F47">
            <v>3757.0200000000004</v>
          </cell>
          <cell r="G47">
            <v>74.2</v>
          </cell>
        </row>
      </sheetData>
      <sheetData sheetId="38">
        <row r="5">
          <cell r="D5" t="str">
            <v>Cassel Consulting Limited</v>
          </cell>
        </row>
        <row r="7">
          <cell r="H7">
            <v>1.36</v>
          </cell>
          <cell r="I7" t="str">
            <v>Travel, accommodation and subsistence</v>
          </cell>
        </row>
        <row r="8">
          <cell r="H8">
            <v>147.88999999999999</v>
          </cell>
          <cell r="I8" t="str">
            <v>Entertaining</v>
          </cell>
        </row>
        <row r="9">
          <cell r="H9">
            <v>4.4400000000000004</v>
          </cell>
          <cell r="I9" t="str">
            <v>Travel, accommodation and subsistence</v>
          </cell>
        </row>
        <row r="10">
          <cell r="H10">
            <v>9.24</v>
          </cell>
          <cell r="I10" t="str">
            <v>Entertaining</v>
          </cell>
        </row>
        <row r="11">
          <cell r="H11">
            <v>6.49</v>
          </cell>
          <cell r="I11" t="str">
            <v>Entertaining</v>
          </cell>
        </row>
        <row r="12">
          <cell r="H12">
            <v>155.28</v>
          </cell>
          <cell r="I12" t="str">
            <v>Entertaining</v>
          </cell>
        </row>
        <row r="13">
          <cell r="H13">
            <v>5.18</v>
          </cell>
          <cell r="I13" t="str">
            <v>Travel, accommodation and subsistence</v>
          </cell>
        </row>
        <row r="14">
          <cell r="H14">
            <v>11.83</v>
          </cell>
          <cell r="I14" t="str">
            <v>Travel, accommodation and subsistence</v>
          </cell>
        </row>
        <row r="15">
          <cell r="H15">
            <v>68.03</v>
          </cell>
          <cell r="I15" t="str">
            <v>Entertaining</v>
          </cell>
        </row>
        <row r="16">
          <cell r="H16">
            <v>2.2200000000000002</v>
          </cell>
          <cell r="I16" t="str">
            <v>Travel, accommodation and subsistence</v>
          </cell>
        </row>
        <row r="17">
          <cell r="H17">
            <v>2.9</v>
          </cell>
          <cell r="I17" t="str">
            <v>Travel, accommodation and subsistence</v>
          </cell>
        </row>
        <row r="18">
          <cell r="H18">
            <v>3.97</v>
          </cell>
          <cell r="I18" t="str">
            <v>Entertaining</v>
          </cell>
        </row>
        <row r="19">
          <cell r="H19">
            <v>1315.14</v>
          </cell>
          <cell r="I19" t="str">
            <v>Travel, accommodation and subsistence</v>
          </cell>
        </row>
        <row r="20">
          <cell r="H20">
            <v>6.17</v>
          </cell>
          <cell r="I20" t="str">
            <v>Entertaining</v>
          </cell>
        </row>
        <row r="21">
          <cell r="H21">
            <v>56.58</v>
          </cell>
          <cell r="I21" t="str">
            <v>Travel, accommodation and subsistence</v>
          </cell>
        </row>
        <row r="22">
          <cell r="H22">
            <v>18.709999999999997</v>
          </cell>
          <cell r="I22" t="str">
            <v>Telephone &amp; Internet</v>
          </cell>
        </row>
        <row r="23">
          <cell r="H23">
            <v>10.620000000000001</v>
          </cell>
          <cell r="I23" t="str">
            <v>Printing, postage and stationery</v>
          </cell>
        </row>
        <row r="24">
          <cell r="H24">
            <v>33.799999999999997</v>
          </cell>
          <cell r="I24" t="str">
            <v>Printing, postage and stationery</v>
          </cell>
        </row>
        <row r="25">
          <cell r="H25">
            <v>3.36</v>
          </cell>
          <cell r="I25" t="str">
            <v>Printing, postage and stationery</v>
          </cell>
        </row>
        <row r="26">
          <cell r="H26">
            <v>7.8</v>
          </cell>
          <cell r="I26" t="str">
            <v>Travel, accommodation and subsistence</v>
          </cell>
        </row>
        <row r="27">
          <cell r="H27">
            <v>3.35</v>
          </cell>
          <cell r="I27" t="str">
            <v>Travel, accommodation and subsistence</v>
          </cell>
        </row>
        <row r="28">
          <cell r="H28">
            <v>80.86</v>
          </cell>
          <cell r="I28" t="str">
            <v>Entertaining</v>
          </cell>
        </row>
        <row r="29">
          <cell r="H29">
            <v>326.02999999999997</v>
          </cell>
          <cell r="I29" t="str">
            <v>Travel, accommodation and subsistence</v>
          </cell>
        </row>
        <row r="30">
          <cell r="H30">
            <v>61.28</v>
          </cell>
          <cell r="I30" t="str">
            <v>Travel, accommodation and subsistence</v>
          </cell>
        </row>
        <row r="31">
          <cell r="H31">
            <v>31.2</v>
          </cell>
          <cell r="I31" t="str">
            <v>Motor Travel</v>
          </cell>
        </row>
        <row r="32">
          <cell r="H32">
            <v>116.56</v>
          </cell>
          <cell r="I32" t="str">
            <v>Travel, accommodation and subsistence</v>
          </cell>
        </row>
        <row r="33">
          <cell r="H33">
            <v>107.56</v>
          </cell>
          <cell r="I33" t="str">
            <v>Travel, accommodation and subsistence</v>
          </cell>
        </row>
        <row r="34">
          <cell r="H34">
            <v>55.56</v>
          </cell>
          <cell r="I34" t="str">
            <v>Travel, accommodation and subsistence</v>
          </cell>
        </row>
        <row r="35">
          <cell r="H35">
            <v>4.21</v>
          </cell>
          <cell r="I35" t="str">
            <v>Travel, accommodation and subsistence</v>
          </cell>
        </row>
        <row r="36">
          <cell r="H36">
            <v>2.65</v>
          </cell>
          <cell r="I36" t="str">
            <v>Travel, accommodation and subsistence</v>
          </cell>
        </row>
        <row r="37">
          <cell r="H37">
            <v>3.14</v>
          </cell>
          <cell r="I37" t="str">
            <v>Travel, accommodation and subsistence</v>
          </cell>
        </row>
        <row r="38">
          <cell r="H38">
            <v>13.23</v>
          </cell>
          <cell r="I38" t="str">
            <v>Travel, accommodation and subsistence</v>
          </cell>
        </row>
        <row r="39">
          <cell r="H39">
            <v>2.41</v>
          </cell>
          <cell r="I39" t="str">
            <v>Travel, accommodation and subsistence</v>
          </cell>
        </row>
        <row r="40">
          <cell r="H40">
            <v>14.7</v>
          </cell>
          <cell r="I40" t="str">
            <v>Travel, accommodation and subsistence</v>
          </cell>
        </row>
        <row r="41">
          <cell r="H41">
            <v>33.08</v>
          </cell>
          <cell r="I41" t="str">
            <v>Travel, accommodation and subsistence</v>
          </cell>
        </row>
        <row r="42">
          <cell r="H42">
            <v>14.7</v>
          </cell>
          <cell r="I42" t="str">
            <v>Travel, accommodation and subsistence</v>
          </cell>
        </row>
        <row r="43">
          <cell r="H43">
            <v>4.3899999999999997</v>
          </cell>
          <cell r="I43" t="str">
            <v>Travel, accommodation and subsistence</v>
          </cell>
        </row>
        <row r="44">
          <cell r="H44">
            <v>33.450000000000003</v>
          </cell>
          <cell r="I44" t="str">
            <v>Travel, accommodation and subsistence</v>
          </cell>
        </row>
        <row r="45">
          <cell r="H45">
            <v>446.23</v>
          </cell>
          <cell r="I45" t="str">
            <v>Travel, accommodation and subsistence</v>
          </cell>
        </row>
        <row r="46">
          <cell r="H46">
            <v>12.5</v>
          </cell>
          <cell r="I46" t="str">
            <v>Travel, accommodation and subsistence</v>
          </cell>
        </row>
        <row r="47">
          <cell r="F47">
            <v>3260.1199999999985</v>
          </cell>
          <cell r="G47">
            <v>22.020000000000003</v>
          </cell>
        </row>
      </sheetData>
      <sheetData sheetId="39">
        <row r="7">
          <cell r="H7">
            <v>101.56</v>
          </cell>
          <cell r="I7" t="str">
            <v>Travel, accommodation and subsistence</v>
          </cell>
        </row>
        <row r="8">
          <cell r="H8">
            <v>249.67</v>
          </cell>
          <cell r="I8" t="str">
            <v>Entertaining</v>
          </cell>
        </row>
        <row r="9">
          <cell r="H9">
            <v>7.6</v>
          </cell>
          <cell r="I9" t="str">
            <v>Travel, accommodation and subsistence</v>
          </cell>
        </row>
        <row r="10">
          <cell r="H10">
            <v>422.9</v>
          </cell>
          <cell r="I10" t="str">
            <v>Travel, accommodation and subsistence</v>
          </cell>
        </row>
        <row r="11">
          <cell r="H11">
            <v>13.22</v>
          </cell>
          <cell r="I11" t="str">
            <v>Travel, accommodation and subsistence</v>
          </cell>
        </row>
        <row r="12">
          <cell r="H12">
            <v>76.59</v>
          </cell>
          <cell r="I12" t="str">
            <v>Travel, accommodation and subsistence</v>
          </cell>
        </row>
        <row r="13">
          <cell r="H13">
            <v>32.799999999999997</v>
          </cell>
          <cell r="I13" t="str">
            <v>Motor Travel</v>
          </cell>
        </row>
        <row r="14">
          <cell r="H14">
            <v>37.56</v>
          </cell>
          <cell r="I14" t="str">
            <v>Travel, accommodation and subsistence</v>
          </cell>
        </row>
        <row r="15">
          <cell r="H15">
            <v>3.7</v>
          </cell>
          <cell r="I15" t="str">
            <v>Travel, accommodation and subsistence</v>
          </cell>
        </row>
        <row r="16">
          <cell r="H16">
            <v>13.77</v>
          </cell>
          <cell r="I16" t="str">
            <v>Travel, accommodation and subsistence</v>
          </cell>
        </row>
        <row r="17">
          <cell r="H17">
            <v>3.02</v>
          </cell>
          <cell r="I17" t="str">
            <v>Travel, accommodation and subsistence</v>
          </cell>
        </row>
        <row r="18">
          <cell r="H18">
            <v>13.77</v>
          </cell>
          <cell r="I18" t="str">
            <v>Travel, accommodation and subsistence</v>
          </cell>
        </row>
        <row r="19">
          <cell r="H19">
            <v>1.96</v>
          </cell>
          <cell r="I19" t="str">
            <v>Travel, accommodation and subsistence</v>
          </cell>
        </row>
        <row r="20">
          <cell r="H20">
            <v>374.25</v>
          </cell>
          <cell r="I20" t="str">
            <v>Travel, accommodation and subsistence</v>
          </cell>
        </row>
        <row r="21">
          <cell r="H21">
            <v>13.05</v>
          </cell>
          <cell r="I21" t="str">
            <v>Travel, accommodation and subsistence</v>
          </cell>
        </row>
        <row r="22">
          <cell r="H22">
            <v>5.94</v>
          </cell>
          <cell r="I22" t="str">
            <v>Travel, accommodation and subsistence</v>
          </cell>
        </row>
        <row r="23">
          <cell r="H23">
            <v>61.269999999999996</v>
          </cell>
          <cell r="I23" t="str">
            <v>Travel, accommodation and subsistence</v>
          </cell>
        </row>
        <row r="24">
          <cell r="H24">
            <v>32.4</v>
          </cell>
          <cell r="I24" t="str">
            <v>Motor Travel</v>
          </cell>
        </row>
        <row r="25">
          <cell r="H25">
            <v>18.709999999999997</v>
          </cell>
          <cell r="I25" t="str">
            <v>Telephone &amp; Internet</v>
          </cell>
        </row>
        <row r="26">
          <cell r="H26">
            <v>45.089999999999996</v>
          </cell>
          <cell r="I26" t="str">
            <v>Printing, postage and stationery</v>
          </cell>
        </row>
        <row r="27">
          <cell r="H27">
            <v>4.91</v>
          </cell>
          <cell r="I27" t="str">
            <v>Travel, accommodation and subsistence</v>
          </cell>
        </row>
        <row r="28">
          <cell r="H28">
            <v>76.099999999999994</v>
          </cell>
          <cell r="I28" t="str">
            <v>Entertaining</v>
          </cell>
        </row>
        <row r="29">
          <cell r="H29">
            <v>5.07</v>
          </cell>
          <cell r="I29" t="str">
            <v>Travel, accommodation and subsistence</v>
          </cell>
        </row>
        <row r="30">
          <cell r="H30">
            <v>2.23</v>
          </cell>
          <cell r="I30" t="str">
            <v>Travel, accommodation and subsistence</v>
          </cell>
        </row>
        <row r="31">
          <cell r="H31">
            <v>2.31</v>
          </cell>
          <cell r="I31" t="str">
            <v>Travel, accommodation and subsistence</v>
          </cell>
        </row>
        <row r="32">
          <cell r="H32">
            <v>13.05</v>
          </cell>
          <cell r="I32" t="str">
            <v>Travel, accommodation and subsistence</v>
          </cell>
        </row>
        <row r="33">
          <cell r="H33">
            <v>457.35</v>
          </cell>
          <cell r="I33" t="str">
            <v>Travel, accommodation and subsistence</v>
          </cell>
        </row>
        <row r="34">
          <cell r="H34">
            <v>12.32</v>
          </cell>
          <cell r="I34" t="str">
            <v>Travel, accommodation and subsistence</v>
          </cell>
        </row>
        <row r="35">
          <cell r="H35">
            <v>4.6399999999999997</v>
          </cell>
          <cell r="I35" t="str">
            <v>Travel, accommodation and subsistence</v>
          </cell>
        </row>
        <row r="36">
          <cell r="H36">
            <v>735.4</v>
          </cell>
          <cell r="I36" t="str">
            <v>Travel, accommodation and subsistence</v>
          </cell>
        </row>
        <row r="37">
          <cell r="H37">
            <v>735.4</v>
          </cell>
          <cell r="I37" t="str">
            <v>Travel, accommodation and subsistence</v>
          </cell>
        </row>
        <row r="38">
          <cell r="H38">
            <v>121.77</v>
          </cell>
          <cell r="I38" t="str">
            <v>Telephone &amp; Internet</v>
          </cell>
        </row>
        <row r="39">
          <cell r="H39">
            <v>0</v>
          </cell>
          <cell r="I39" t="str">
            <v>Travel, accommodation and subsistence</v>
          </cell>
        </row>
        <row r="40">
          <cell r="H40">
            <v>0</v>
          </cell>
          <cell r="I40" t="str">
            <v>Travel, accommodation and subsistence</v>
          </cell>
        </row>
        <row r="41">
          <cell r="H41">
            <v>0</v>
          </cell>
          <cell r="I41" t="str">
            <v>Travel, accommodation and subsistence</v>
          </cell>
        </row>
        <row r="42">
          <cell r="H42">
            <v>0</v>
          </cell>
          <cell r="I42" t="str">
            <v>Travel, accommodation and subsistence</v>
          </cell>
        </row>
        <row r="43">
          <cell r="H43">
            <v>0</v>
          </cell>
          <cell r="I43" t="str">
            <v>Travel, accommodation and subsistence</v>
          </cell>
        </row>
        <row r="44">
          <cell r="H44">
            <v>0</v>
          </cell>
          <cell r="I44" t="str">
            <v>Travel, accommodation and subsistence</v>
          </cell>
        </row>
        <row r="45">
          <cell r="H45">
            <v>0</v>
          </cell>
          <cell r="I45" t="str">
            <v>Travel, accommodation and subsistence</v>
          </cell>
        </row>
        <row r="46">
          <cell r="H46">
            <v>0</v>
          </cell>
          <cell r="I46" t="str">
            <v>Travel, accommodation and subsistence</v>
          </cell>
        </row>
        <row r="47">
          <cell r="F47">
            <v>3755.9900000000002</v>
          </cell>
          <cell r="G47">
            <v>56.61</v>
          </cell>
        </row>
      </sheetData>
      <sheetData sheetId="40">
        <row r="3">
          <cell r="C3" t="str">
            <v>August 2004</v>
          </cell>
        </row>
        <row r="73">
          <cell r="C73" t="str">
            <v>1 January 2004</v>
          </cell>
        </row>
        <row r="74">
          <cell r="C74" t="str">
            <v>1 February 2004</v>
          </cell>
        </row>
        <row r="75">
          <cell r="C75" t="str">
            <v>1 March 2004</v>
          </cell>
        </row>
        <row r="76">
          <cell r="C76" t="str">
            <v>1 April 2004</v>
          </cell>
        </row>
        <row r="77">
          <cell r="C77" t="str">
            <v>1 May 2004</v>
          </cell>
        </row>
        <row r="78">
          <cell r="C78" t="str">
            <v>1 June 2004</v>
          </cell>
        </row>
        <row r="79">
          <cell r="C79" t="str">
            <v>1 July 2004</v>
          </cell>
        </row>
        <row r="80">
          <cell r="C80" t="str">
            <v>1 August 2004</v>
          </cell>
        </row>
        <row r="81">
          <cell r="C81" t="str">
            <v>1 September 2004</v>
          </cell>
        </row>
        <row r="82">
          <cell r="C82" t="str">
            <v>1 October 2004</v>
          </cell>
        </row>
        <row r="83">
          <cell r="C83" t="str">
            <v>1 November 2004</v>
          </cell>
        </row>
        <row r="84">
          <cell r="C84" t="str">
            <v>1 December 2004</v>
          </cell>
        </row>
      </sheetData>
      <sheetData sheetId="41">
        <row r="6">
          <cell r="E6">
            <v>12</v>
          </cell>
        </row>
      </sheetData>
      <sheetData sheetId="42">
        <row r="6">
          <cell r="E6">
            <v>12</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5">
          <cell r="D5" t="str">
            <v>Cassel Consulting Limited</v>
          </cell>
        </row>
      </sheetData>
      <sheetData sheetId="59">
        <row r="6">
          <cell r="E6">
            <v>12</v>
          </cell>
        </row>
      </sheetData>
      <sheetData sheetId="60">
        <row r="6">
          <cell r="E6">
            <v>12</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5">
          <cell r="D5" t="str">
            <v>Cassel Consulting Limited</v>
          </cell>
        </row>
      </sheetData>
      <sheetData sheetId="77">
        <row r="6">
          <cell r="E6">
            <v>12</v>
          </cell>
        </row>
      </sheetData>
      <sheetData sheetId="78">
        <row r="6">
          <cell r="E6">
            <v>12</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5">
          <cell r="D5" t="str">
            <v>Cassel Consulting Limited</v>
          </cell>
        </row>
      </sheetData>
      <sheetData sheetId="95">
        <row r="6">
          <cell r="E6">
            <v>12</v>
          </cell>
        </row>
      </sheetData>
      <sheetData sheetId="96">
        <row r="6">
          <cell r="E6">
            <v>12</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s>
    <sheetDataSet>
      <sheetData sheetId="0" refreshError="1"/>
      <sheetData sheetId="1" refreshError="1"/>
      <sheetData sheetId="2" refreshError="1"/>
      <sheetData sheetId="3">
        <row r="7">
          <cell r="E7" t="str">
            <v>Yes</v>
          </cell>
        </row>
      </sheetData>
      <sheetData sheetId="4">
        <row r="7">
          <cell r="E7" t="str">
            <v>Yes</v>
          </cell>
        </row>
      </sheetData>
      <sheetData sheetId="5">
        <row r="7">
          <cell r="E7" t="str">
            <v>Yes</v>
          </cell>
        </row>
      </sheetData>
      <sheetData sheetId="6">
        <row r="7">
          <cell r="E7" t="str">
            <v>Yes</v>
          </cell>
        </row>
      </sheetData>
      <sheetData sheetId="7">
        <row r="7">
          <cell r="E7" t="str">
            <v>Yes</v>
          </cell>
        </row>
      </sheetData>
      <sheetData sheetId="8">
        <row r="7">
          <cell r="E7" t="str">
            <v>Yes</v>
          </cell>
        </row>
      </sheetData>
      <sheetData sheetId="9">
        <row r="7">
          <cell r="E7" t="str">
            <v>Yes</v>
          </cell>
        </row>
      </sheetData>
      <sheetData sheetId="10">
        <row r="7">
          <cell r="E7" t="str">
            <v>Yes</v>
          </cell>
        </row>
      </sheetData>
      <sheetData sheetId="11">
        <row r="7">
          <cell r="E7" t="str">
            <v>Yes</v>
          </cell>
        </row>
      </sheetData>
      <sheetData sheetId="12">
        <row r="7">
          <cell r="E7" t="str">
            <v>Yes</v>
          </cell>
        </row>
      </sheetData>
      <sheetData sheetId="13">
        <row r="7">
          <cell r="E7" t="str">
            <v>Yes</v>
          </cell>
        </row>
      </sheetData>
      <sheetData sheetId="14">
        <row r="7">
          <cell r="E7" t="str">
            <v>Yes</v>
          </cell>
        </row>
      </sheetData>
      <sheetData sheetId="15">
        <row r="7">
          <cell r="E7" t="str">
            <v>Yes</v>
          </cell>
        </row>
      </sheetData>
      <sheetData sheetId="16">
        <row r="7">
          <cell r="E7" t="str">
            <v>Yes</v>
          </cell>
        </row>
        <row r="8">
          <cell r="E8" t="str">
            <v>Yes</v>
          </cell>
        </row>
        <row r="9">
          <cell r="E9" t="str">
            <v>Yes</v>
          </cell>
        </row>
        <row r="10">
          <cell r="E10" t="str">
            <v>Yes</v>
          </cell>
        </row>
      </sheetData>
      <sheetData sheetId="17">
        <row r="7">
          <cell r="E7" t="str">
            <v>yes</v>
          </cell>
        </row>
      </sheetData>
      <sheetData sheetId="18">
        <row r="7">
          <cell r="E7" t="str">
            <v>Yes</v>
          </cell>
        </row>
      </sheetData>
      <sheetData sheetId="19">
        <row r="7">
          <cell r="E7" t="str">
            <v>Yes</v>
          </cell>
        </row>
      </sheetData>
      <sheetData sheetId="20">
        <row r="7">
          <cell r="E7" t="str">
            <v>Yes</v>
          </cell>
        </row>
      </sheetData>
      <sheetData sheetId="21">
        <row r="7">
          <cell r="E7" t="str">
            <v>Yes</v>
          </cell>
        </row>
      </sheetData>
      <sheetData sheetId="22">
        <row r="7">
          <cell r="E7" t="str">
            <v>Yes</v>
          </cell>
        </row>
      </sheetData>
      <sheetData sheetId="23">
        <row r="7">
          <cell r="E7" t="str">
            <v>Yes</v>
          </cell>
        </row>
      </sheetData>
      <sheetData sheetId="24">
        <row r="7">
          <cell r="E7" t="str">
            <v>Yes</v>
          </cell>
        </row>
      </sheetData>
      <sheetData sheetId="25">
        <row r="7">
          <cell r="E7" t="str">
            <v>Yes</v>
          </cell>
        </row>
      </sheetData>
      <sheetData sheetId="26">
        <row r="7">
          <cell r="E7" t="str">
            <v>Yes</v>
          </cell>
        </row>
      </sheetData>
      <sheetData sheetId="27">
        <row r="7">
          <cell r="E7" t="str">
            <v>Yes</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s>
    <sheetDataSet>
      <sheetData sheetId="0" refreshError="1"/>
      <sheetData sheetId="1" refreshError="1"/>
      <sheetData sheetId="2" refreshError="1"/>
      <sheetData sheetId="3"/>
      <sheetData sheetId="4">
        <row r="8">
          <cell r="E8" t="str">
            <v>Yes</v>
          </cell>
          <cell r="F8">
            <v>1299.55</v>
          </cell>
        </row>
        <row r="9">
          <cell r="E9" t="str">
            <v>Yes</v>
          </cell>
          <cell r="F9">
            <v>31.84</v>
          </cell>
        </row>
      </sheetData>
      <sheetData sheetId="5">
        <row r="7">
          <cell r="E7" t="str">
            <v>Yes</v>
          </cell>
          <cell r="F7">
            <v>25.34</v>
          </cell>
        </row>
      </sheetData>
      <sheetData sheetId="6">
        <row r="7">
          <cell r="E7" t="str">
            <v>Yes</v>
          </cell>
          <cell r="F7">
            <v>12.76</v>
          </cell>
        </row>
      </sheetData>
      <sheetData sheetId="7">
        <row r="7">
          <cell r="E7" t="str">
            <v>Yes</v>
          </cell>
          <cell r="F7">
            <v>9.34</v>
          </cell>
        </row>
      </sheetData>
      <sheetData sheetId="8"/>
      <sheetData sheetId="9">
        <row r="7">
          <cell r="E7" t="str">
            <v>Yes</v>
          </cell>
          <cell r="F7">
            <v>2941.85</v>
          </cell>
        </row>
        <row r="8">
          <cell r="E8" t="str">
            <v>Yes</v>
          </cell>
          <cell r="F8">
            <v>530.04999999999995</v>
          </cell>
        </row>
      </sheetData>
      <sheetData sheetId="10">
        <row r="7">
          <cell r="E7" t="str">
            <v>Yes</v>
          </cell>
          <cell r="F7">
            <v>3059.94</v>
          </cell>
        </row>
        <row r="8">
          <cell r="E8" t="str">
            <v>Yes</v>
          </cell>
          <cell r="F8">
            <v>3663.3</v>
          </cell>
        </row>
        <row r="9">
          <cell r="E9" t="str">
            <v>Yes</v>
          </cell>
          <cell r="F9">
            <v>4.21</v>
          </cell>
        </row>
      </sheetData>
      <sheetData sheetId="11">
        <row r="7">
          <cell r="E7" t="str">
            <v>Yes</v>
          </cell>
          <cell r="F7">
            <v>4800.46</v>
          </cell>
        </row>
        <row r="8">
          <cell r="E8" t="str">
            <v>Yes</v>
          </cell>
          <cell r="F8">
            <v>3036.79</v>
          </cell>
        </row>
        <row r="9">
          <cell r="E9" t="str">
            <v>Yes</v>
          </cell>
          <cell r="F9">
            <v>146.88</v>
          </cell>
        </row>
        <row r="10">
          <cell r="E10" t="str">
            <v>Yes</v>
          </cell>
          <cell r="F10">
            <v>17.95</v>
          </cell>
        </row>
      </sheetData>
      <sheetData sheetId="12">
        <row r="7">
          <cell r="E7" t="str">
            <v>Yes</v>
          </cell>
          <cell r="F7">
            <v>2958.65</v>
          </cell>
        </row>
        <row r="8">
          <cell r="E8" t="str">
            <v>Yes</v>
          </cell>
          <cell r="F8">
            <v>3057.31</v>
          </cell>
        </row>
        <row r="9">
          <cell r="E9" t="str">
            <v>Yes</v>
          </cell>
          <cell r="F9">
            <v>37.130000000000003</v>
          </cell>
        </row>
      </sheetData>
      <sheetData sheetId="13">
        <row r="7">
          <cell r="E7" t="str">
            <v>Yes</v>
          </cell>
          <cell r="F7">
            <v>1597.3</v>
          </cell>
        </row>
        <row r="8">
          <cell r="E8" t="str">
            <v>Yes</v>
          </cell>
          <cell r="F8">
            <v>8225</v>
          </cell>
        </row>
        <row r="9">
          <cell r="E9" t="str">
            <v>Yes</v>
          </cell>
          <cell r="F9">
            <v>3489.63</v>
          </cell>
        </row>
        <row r="10">
          <cell r="E10" t="str">
            <v>Yes</v>
          </cell>
          <cell r="F10">
            <v>64.069999999999993</v>
          </cell>
        </row>
      </sheetData>
      <sheetData sheetId="14">
        <row r="7">
          <cell r="E7" t="str">
            <v>Yes</v>
          </cell>
          <cell r="F7">
            <v>3.38</v>
          </cell>
        </row>
        <row r="8">
          <cell r="E8" t="str">
            <v>Yes</v>
          </cell>
          <cell r="F8">
            <v>881.25</v>
          </cell>
        </row>
        <row r="9">
          <cell r="E9" t="str">
            <v>Yes</v>
          </cell>
          <cell r="F9">
            <v>5291.26</v>
          </cell>
        </row>
        <row r="10">
          <cell r="E10" t="str">
            <v>Yes</v>
          </cell>
          <cell r="F10">
            <v>3435</v>
          </cell>
        </row>
        <row r="11">
          <cell r="E11" t="str">
            <v>Yes</v>
          </cell>
          <cell r="F11">
            <v>67.599999999999994</v>
          </cell>
        </row>
      </sheetData>
      <sheetData sheetId="15">
        <row r="7">
          <cell r="E7" t="str">
            <v>Yes</v>
          </cell>
          <cell r="F7">
            <v>3092.6</v>
          </cell>
        </row>
        <row r="8">
          <cell r="E8" t="str">
            <v>Yes</v>
          </cell>
          <cell r="F8">
            <v>4168.78</v>
          </cell>
        </row>
        <row r="9">
          <cell r="E9" t="str">
            <v>Yes</v>
          </cell>
          <cell r="F9">
            <v>1365.84</v>
          </cell>
        </row>
        <row r="10">
          <cell r="E10" t="str">
            <v>Yes</v>
          </cell>
          <cell r="F10">
            <v>41.71</v>
          </cell>
        </row>
      </sheetData>
      <sheetData sheetId="16">
        <row r="7">
          <cell r="F7">
            <v>40.200000000000003</v>
          </cell>
        </row>
        <row r="8">
          <cell r="F8">
            <v>38.49</v>
          </cell>
        </row>
        <row r="9">
          <cell r="F9">
            <v>145.4</v>
          </cell>
        </row>
        <row r="10">
          <cell r="F10">
            <v>1000</v>
          </cell>
        </row>
      </sheetData>
      <sheetData sheetId="17">
        <row r="7">
          <cell r="E7" t="str">
            <v>yes</v>
          </cell>
          <cell r="F7">
            <v>1315.5</v>
          </cell>
        </row>
        <row r="8">
          <cell r="E8" t="str">
            <v>Yes</v>
          </cell>
          <cell r="F8">
            <v>6.4</v>
          </cell>
        </row>
        <row r="9">
          <cell r="E9" t="str">
            <v>Yes</v>
          </cell>
          <cell r="F9">
            <v>925.95</v>
          </cell>
        </row>
        <row r="10">
          <cell r="E10" t="str">
            <v>Yes</v>
          </cell>
          <cell r="F10">
            <v>36.840000000000003</v>
          </cell>
        </row>
        <row r="11">
          <cell r="E11" t="str">
            <v>Yes</v>
          </cell>
          <cell r="F11">
            <v>822.29</v>
          </cell>
        </row>
        <row r="12">
          <cell r="E12" t="str">
            <v>Yes</v>
          </cell>
          <cell r="F12">
            <v>38.49</v>
          </cell>
        </row>
        <row r="13">
          <cell r="E13" t="str">
            <v>Yes</v>
          </cell>
          <cell r="F13">
            <v>139.53</v>
          </cell>
        </row>
        <row r="14">
          <cell r="E14" t="str">
            <v>Yes</v>
          </cell>
          <cell r="F14">
            <v>1000</v>
          </cell>
        </row>
      </sheetData>
      <sheetData sheetId="18">
        <row r="7">
          <cell r="E7" t="str">
            <v>Yes</v>
          </cell>
          <cell r="F7">
            <v>27.08</v>
          </cell>
        </row>
        <row r="8">
          <cell r="E8" t="str">
            <v>Yes</v>
          </cell>
          <cell r="F8">
            <v>633.05999999999995</v>
          </cell>
        </row>
        <row r="9">
          <cell r="E9" t="str">
            <v>Yes</v>
          </cell>
          <cell r="F9">
            <v>731.32</v>
          </cell>
        </row>
        <row r="10">
          <cell r="E10" t="str">
            <v>Yes</v>
          </cell>
          <cell r="F10">
            <v>35.479999999999997</v>
          </cell>
        </row>
        <row r="11">
          <cell r="E11" t="str">
            <v>Yes</v>
          </cell>
          <cell r="F11">
            <v>139.53</v>
          </cell>
        </row>
        <row r="12">
          <cell r="E12" t="str">
            <v>Yes</v>
          </cell>
          <cell r="F12">
            <v>481.75</v>
          </cell>
        </row>
        <row r="13">
          <cell r="E13" t="str">
            <v>Yes</v>
          </cell>
          <cell r="F13">
            <v>1000</v>
          </cell>
        </row>
        <row r="14">
          <cell r="E14" t="str">
            <v>Yes</v>
          </cell>
          <cell r="F14">
            <v>116.33</v>
          </cell>
        </row>
      </sheetData>
      <sheetData sheetId="19">
        <row r="7">
          <cell r="E7" t="str">
            <v>Yes</v>
          </cell>
          <cell r="F7">
            <v>40.659999999999997</v>
          </cell>
        </row>
        <row r="8">
          <cell r="E8" t="str">
            <v>Yes</v>
          </cell>
          <cell r="F8">
            <v>388.44</v>
          </cell>
        </row>
        <row r="9">
          <cell r="E9" t="str">
            <v>Yes</v>
          </cell>
          <cell r="F9">
            <v>35.479999999999997</v>
          </cell>
        </row>
        <row r="10">
          <cell r="E10" t="str">
            <v>Yes</v>
          </cell>
          <cell r="F10">
            <v>139.53</v>
          </cell>
        </row>
        <row r="11">
          <cell r="E11" t="str">
            <v>Yes</v>
          </cell>
          <cell r="F11">
            <v>708.62</v>
          </cell>
        </row>
        <row r="12">
          <cell r="E12" t="str">
            <v>Yes</v>
          </cell>
          <cell r="F12">
            <v>1000</v>
          </cell>
        </row>
      </sheetData>
      <sheetData sheetId="20">
        <row r="7">
          <cell r="E7" t="str">
            <v>Yes</v>
          </cell>
          <cell r="F7">
            <v>39.729999999999997</v>
          </cell>
        </row>
        <row r="8">
          <cell r="E8" t="str">
            <v>Yes</v>
          </cell>
          <cell r="F8">
            <v>569.29</v>
          </cell>
        </row>
        <row r="9">
          <cell r="E9" t="str">
            <v>Yes</v>
          </cell>
          <cell r="F9">
            <v>35.6</v>
          </cell>
        </row>
        <row r="10">
          <cell r="E10" t="str">
            <v>Yes</v>
          </cell>
          <cell r="F10">
            <v>139.53</v>
          </cell>
        </row>
        <row r="11">
          <cell r="E11" t="str">
            <v>Yes</v>
          </cell>
          <cell r="F11">
            <v>1000</v>
          </cell>
        </row>
      </sheetData>
      <sheetData sheetId="21">
        <row r="7">
          <cell r="E7" t="str">
            <v>Yes</v>
          </cell>
          <cell r="F7">
            <v>30.53</v>
          </cell>
        </row>
        <row r="8">
          <cell r="E8" t="str">
            <v>Yes</v>
          </cell>
          <cell r="F8">
            <v>1422.68</v>
          </cell>
        </row>
        <row r="9">
          <cell r="E9" t="str">
            <v>Yes</v>
          </cell>
          <cell r="F9">
            <v>533</v>
          </cell>
        </row>
        <row r="10">
          <cell r="E10" t="str">
            <v>Yes</v>
          </cell>
          <cell r="F10">
            <v>35.479999999999997</v>
          </cell>
        </row>
        <row r="11">
          <cell r="E11" t="str">
            <v>Yes</v>
          </cell>
          <cell r="F11">
            <v>139.53</v>
          </cell>
        </row>
        <row r="12">
          <cell r="E12" t="str">
            <v>Yes</v>
          </cell>
          <cell r="F12">
            <v>1000</v>
          </cell>
        </row>
      </sheetData>
      <sheetData sheetId="22">
        <row r="7">
          <cell r="E7" t="str">
            <v>Yes</v>
          </cell>
          <cell r="F7">
            <v>39.78</v>
          </cell>
        </row>
        <row r="8">
          <cell r="E8" t="str">
            <v>Yes</v>
          </cell>
          <cell r="F8">
            <v>441.67</v>
          </cell>
        </row>
        <row r="9">
          <cell r="E9" t="str">
            <v>Yes</v>
          </cell>
          <cell r="F9">
            <v>35.479999999999997</v>
          </cell>
        </row>
        <row r="10">
          <cell r="E10" t="str">
            <v>Yes</v>
          </cell>
          <cell r="F10">
            <v>433.99</v>
          </cell>
        </row>
        <row r="11">
          <cell r="E11" t="str">
            <v>Yes</v>
          </cell>
          <cell r="F11">
            <v>1000</v>
          </cell>
        </row>
        <row r="12">
          <cell r="E12" t="str">
            <v>yes</v>
          </cell>
          <cell r="F12">
            <v>139.53</v>
          </cell>
        </row>
      </sheetData>
      <sheetData sheetId="23">
        <row r="7">
          <cell r="E7" t="str">
            <v>Yes</v>
          </cell>
          <cell r="F7">
            <v>3.2</v>
          </cell>
        </row>
        <row r="8">
          <cell r="E8" t="str">
            <v>Yes</v>
          </cell>
          <cell r="F8">
            <v>333</v>
          </cell>
        </row>
        <row r="9">
          <cell r="E9" t="str">
            <v>Yes</v>
          </cell>
          <cell r="F9">
            <v>35.479999999999997</v>
          </cell>
        </row>
        <row r="10">
          <cell r="E10" t="str">
            <v>Yes</v>
          </cell>
          <cell r="F10">
            <v>139.53</v>
          </cell>
        </row>
        <row r="11">
          <cell r="E11" t="str">
            <v>Yes</v>
          </cell>
          <cell r="F11">
            <v>1000</v>
          </cell>
        </row>
      </sheetData>
      <sheetData sheetId="24">
        <row r="7">
          <cell r="E7" t="str">
            <v>Yes</v>
          </cell>
          <cell r="F7">
            <v>152</v>
          </cell>
        </row>
        <row r="8">
          <cell r="E8" t="str">
            <v>Yes</v>
          </cell>
          <cell r="F8">
            <v>36.17</v>
          </cell>
        </row>
        <row r="9">
          <cell r="E9" t="str">
            <v>Yes</v>
          </cell>
          <cell r="F9">
            <v>1771.06</v>
          </cell>
        </row>
        <row r="10">
          <cell r="E10" t="str">
            <v>Yes</v>
          </cell>
          <cell r="F10">
            <v>750.69</v>
          </cell>
        </row>
        <row r="11">
          <cell r="E11" t="str">
            <v>Yes</v>
          </cell>
          <cell r="F11">
            <v>32.549999999999997</v>
          </cell>
        </row>
        <row r="12">
          <cell r="E12" t="str">
            <v>Yes</v>
          </cell>
          <cell r="F12">
            <v>1612.37</v>
          </cell>
        </row>
        <row r="13">
          <cell r="E13" t="str">
            <v>Yes</v>
          </cell>
          <cell r="F13">
            <v>35.479999999999997</v>
          </cell>
        </row>
        <row r="14">
          <cell r="E14" t="str">
            <v>Yes</v>
          </cell>
          <cell r="F14">
            <v>139.53</v>
          </cell>
        </row>
        <row r="15">
          <cell r="E15" t="str">
            <v>Yes</v>
          </cell>
          <cell r="F15">
            <v>1000</v>
          </cell>
        </row>
      </sheetData>
      <sheetData sheetId="25">
        <row r="7">
          <cell r="E7" t="str">
            <v>Yes</v>
          </cell>
          <cell r="F7">
            <v>46.93</v>
          </cell>
        </row>
        <row r="8">
          <cell r="E8" t="str">
            <v>Yes</v>
          </cell>
          <cell r="F8">
            <v>716.05</v>
          </cell>
        </row>
        <row r="9">
          <cell r="E9" t="str">
            <v>Yes</v>
          </cell>
          <cell r="F9">
            <v>95</v>
          </cell>
        </row>
        <row r="10">
          <cell r="E10" t="str">
            <v>Yes</v>
          </cell>
          <cell r="F10">
            <v>35.479999999999997</v>
          </cell>
        </row>
        <row r="11">
          <cell r="E11" t="str">
            <v>Yes</v>
          </cell>
          <cell r="F11">
            <v>139.53</v>
          </cell>
        </row>
        <row r="12">
          <cell r="E12" t="str">
            <v>Yes</v>
          </cell>
          <cell r="F12">
            <v>2572</v>
          </cell>
        </row>
        <row r="13">
          <cell r="E13" t="str">
            <v>Yes</v>
          </cell>
          <cell r="F13">
            <v>1000</v>
          </cell>
        </row>
      </sheetData>
      <sheetData sheetId="26">
        <row r="7">
          <cell r="E7" t="str">
            <v>Yes</v>
          </cell>
          <cell r="F7">
            <v>132.18</v>
          </cell>
        </row>
        <row r="8">
          <cell r="E8" t="str">
            <v>Yes</v>
          </cell>
          <cell r="F8">
            <v>1279.5</v>
          </cell>
        </row>
        <row r="9">
          <cell r="E9" t="str">
            <v>Yes</v>
          </cell>
          <cell r="F9">
            <v>49.13</v>
          </cell>
        </row>
        <row r="10">
          <cell r="E10" t="str">
            <v>Yes</v>
          </cell>
          <cell r="F10">
            <v>35.6</v>
          </cell>
        </row>
        <row r="11">
          <cell r="E11" t="str">
            <v>Yes</v>
          </cell>
          <cell r="F11">
            <v>139.53</v>
          </cell>
        </row>
        <row r="12">
          <cell r="E12" t="str">
            <v>Yes</v>
          </cell>
          <cell r="F12">
            <v>1000</v>
          </cell>
        </row>
      </sheetData>
      <sheetData sheetId="27">
        <row r="7">
          <cell r="E7" t="str">
            <v>Yes</v>
          </cell>
          <cell r="F7">
            <v>10000</v>
          </cell>
        </row>
        <row r="8">
          <cell r="E8" t="str">
            <v>Yes</v>
          </cell>
          <cell r="F8">
            <v>1771.06</v>
          </cell>
        </row>
        <row r="9">
          <cell r="E9" t="str">
            <v>Yes</v>
          </cell>
          <cell r="F9">
            <v>1767.81</v>
          </cell>
        </row>
        <row r="10">
          <cell r="E10" t="str">
            <v>Yes</v>
          </cell>
          <cell r="F10">
            <v>51.24</v>
          </cell>
        </row>
        <row r="11">
          <cell r="E11" t="str">
            <v>Yes</v>
          </cell>
          <cell r="F11">
            <v>70</v>
          </cell>
        </row>
        <row r="12">
          <cell r="E12" t="str">
            <v>Yes</v>
          </cell>
          <cell r="F12">
            <v>10000</v>
          </cell>
        </row>
        <row r="13">
          <cell r="E13" t="str">
            <v>Yes</v>
          </cell>
          <cell r="F13">
            <v>413.62</v>
          </cell>
        </row>
        <row r="14">
          <cell r="E14" t="str">
            <v>Yes</v>
          </cell>
          <cell r="F14">
            <v>35.479999999999997</v>
          </cell>
        </row>
        <row r="15">
          <cell r="E15" t="str">
            <v>Yes</v>
          </cell>
          <cell r="F15">
            <v>37.6</v>
          </cell>
        </row>
        <row r="16">
          <cell r="E16" t="str">
            <v>Yes</v>
          </cell>
          <cell r="F16">
            <v>139.53</v>
          </cell>
        </row>
        <row r="17">
          <cell r="E17" t="str">
            <v>Yes</v>
          </cell>
          <cell r="F17">
            <v>1000</v>
          </cell>
        </row>
        <row r="18">
          <cell r="E18" t="str">
            <v>No</v>
          </cell>
          <cell r="F18">
            <v>303.20999999999998</v>
          </cell>
        </row>
        <row r="19">
          <cell r="E19" t="str">
            <v>No</v>
          </cell>
          <cell r="F19">
            <v>3943.25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s>
    <sheetDataSet>
      <sheetData sheetId="0" refreshError="1"/>
      <sheetData sheetId="1" refreshError="1"/>
      <sheetData sheetId="2" refreshError="1"/>
      <sheetData sheetId="3"/>
      <sheetData sheetId="4">
        <row r="8">
          <cell r="E8" t="str">
            <v>Yes</v>
          </cell>
          <cell r="F8">
            <v>1299.55</v>
          </cell>
        </row>
        <row r="9">
          <cell r="E9" t="str">
            <v>Yes</v>
          </cell>
          <cell r="F9">
            <v>31.84</v>
          </cell>
        </row>
      </sheetData>
      <sheetData sheetId="5">
        <row r="7">
          <cell r="E7" t="str">
            <v>Yes</v>
          </cell>
          <cell r="F7">
            <v>25.34</v>
          </cell>
        </row>
      </sheetData>
      <sheetData sheetId="6">
        <row r="7">
          <cell r="E7" t="str">
            <v>Yes</v>
          </cell>
          <cell r="F7">
            <v>12.76</v>
          </cell>
        </row>
      </sheetData>
      <sheetData sheetId="7">
        <row r="7">
          <cell r="E7" t="str">
            <v>Yes</v>
          </cell>
          <cell r="F7">
            <v>9.34</v>
          </cell>
        </row>
      </sheetData>
      <sheetData sheetId="8"/>
      <sheetData sheetId="9">
        <row r="7">
          <cell r="E7" t="str">
            <v>Yes</v>
          </cell>
          <cell r="F7">
            <v>2941.85</v>
          </cell>
        </row>
        <row r="8">
          <cell r="E8" t="str">
            <v>Yes</v>
          </cell>
          <cell r="F8">
            <v>530.04999999999995</v>
          </cell>
        </row>
      </sheetData>
      <sheetData sheetId="10">
        <row r="7">
          <cell r="E7" t="str">
            <v>Yes</v>
          </cell>
          <cell r="F7">
            <v>3059.94</v>
          </cell>
        </row>
        <row r="8">
          <cell r="E8" t="str">
            <v>Yes</v>
          </cell>
          <cell r="F8">
            <v>3663.3</v>
          </cell>
        </row>
        <row r="9">
          <cell r="E9" t="str">
            <v>Yes</v>
          </cell>
          <cell r="F9">
            <v>4.21</v>
          </cell>
        </row>
      </sheetData>
      <sheetData sheetId="11">
        <row r="7">
          <cell r="E7" t="str">
            <v>Yes</v>
          </cell>
          <cell r="F7">
            <v>4800.46</v>
          </cell>
        </row>
        <row r="8">
          <cell r="E8" t="str">
            <v>Yes</v>
          </cell>
          <cell r="F8">
            <v>3036.79</v>
          </cell>
        </row>
        <row r="9">
          <cell r="E9" t="str">
            <v>Yes</v>
          </cell>
          <cell r="F9">
            <v>146.88</v>
          </cell>
        </row>
        <row r="10">
          <cell r="E10" t="str">
            <v>Yes</v>
          </cell>
          <cell r="F10">
            <v>17.95</v>
          </cell>
        </row>
      </sheetData>
      <sheetData sheetId="12">
        <row r="7">
          <cell r="E7" t="str">
            <v>Yes</v>
          </cell>
          <cell r="F7">
            <v>2958.65</v>
          </cell>
        </row>
        <row r="8">
          <cell r="E8" t="str">
            <v>Yes</v>
          </cell>
          <cell r="F8">
            <v>3057.31</v>
          </cell>
        </row>
        <row r="9">
          <cell r="E9" t="str">
            <v>Yes</v>
          </cell>
          <cell r="F9">
            <v>37.130000000000003</v>
          </cell>
        </row>
      </sheetData>
      <sheetData sheetId="13">
        <row r="7">
          <cell r="E7" t="str">
            <v>Yes</v>
          </cell>
          <cell r="F7">
            <v>1597.3</v>
          </cell>
        </row>
        <row r="8">
          <cell r="E8" t="str">
            <v>Yes</v>
          </cell>
          <cell r="F8">
            <v>8225</v>
          </cell>
        </row>
        <row r="9">
          <cell r="E9" t="str">
            <v>Yes</v>
          </cell>
          <cell r="F9">
            <v>3489.63</v>
          </cell>
        </row>
        <row r="10">
          <cell r="E10" t="str">
            <v>Yes</v>
          </cell>
          <cell r="F10">
            <v>64.069999999999993</v>
          </cell>
        </row>
      </sheetData>
      <sheetData sheetId="14">
        <row r="7">
          <cell r="E7" t="str">
            <v>Yes</v>
          </cell>
          <cell r="F7">
            <v>3.38</v>
          </cell>
        </row>
        <row r="8">
          <cell r="E8" t="str">
            <v>Yes</v>
          </cell>
          <cell r="F8">
            <v>881.25</v>
          </cell>
        </row>
        <row r="9">
          <cell r="E9" t="str">
            <v>Yes</v>
          </cell>
          <cell r="F9">
            <v>5291.26</v>
          </cell>
        </row>
        <row r="10">
          <cell r="E10" t="str">
            <v>Yes</v>
          </cell>
          <cell r="F10">
            <v>3435</v>
          </cell>
        </row>
        <row r="11">
          <cell r="E11" t="str">
            <v>Yes</v>
          </cell>
          <cell r="F11">
            <v>67.599999999999994</v>
          </cell>
        </row>
      </sheetData>
      <sheetData sheetId="15">
        <row r="7">
          <cell r="E7" t="str">
            <v>Yes</v>
          </cell>
          <cell r="F7">
            <v>3092.6</v>
          </cell>
        </row>
        <row r="8">
          <cell r="E8" t="str">
            <v>Yes</v>
          </cell>
          <cell r="F8">
            <v>4168.78</v>
          </cell>
        </row>
        <row r="9">
          <cell r="E9" t="str">
            <v>Yes</v>
          </cell>
          <cell r="F9">
            <v>1365.84</v>
          </cell>
        </row>
        <row r="10">
          <cell r="E10" t="str">
            <v>Yes</v>
          </cell>
          <cell r="F10">
            <v>41.71</v>
          </cell>
        </row>
      </sheetData>
      <sheetData sheetId="16">
        <row r="7">
          <cell r="F7">
            <v>40.200000000000003</v>
          </cell>
        </row>
        <row r="8">
          <cell r="F8">
            <v>38.49</v>
          </cell>
        </row>
        <row r="9">
          <cell r="F9">
            <v>145.4</v>
          </cell>
        </row>
        <row r="10">
          <cell r="F10">
            <v>1000</v>
          </cell>
        </row>
      </sheetData>
      <sheetData sheetId="17">
        <row r="7">
          <cell r="E7" t="str">
            <v>yes</v>
          </cell>
          <cell r="F7">
            <v>1315.5</v>
          </cell>
        </row>
        <row r="8">
          <cell r="E8" t="str">
            <v>Yes</v>
          </cell>
          <cell r="F8">
            <v>6.4</v>
          </cell>
        </row>
        <row r="9">
          <cell r="E9" t="str">
            <v>Yes</v>
          </cell>
          <cell r="F9">
            <v>925.95</v>
          </cell>
        </row>
        <row r="10">
          <cell r="E10" t="str">
            <v>Yes</v>
          </cell>
          <cell r="F10">
            <v>36.840000000000003</v>
          </cell>
        </row>
        <row r="11">
          <cell r="E11" t="str">
            <v>Yes</v>
          </cell>
          <cell r="F11">
            <v>822.29</v>
          </cell>
        </row>
        <row r="12">
          <cell r="E12" t="str">
            <v>Yes</v>
          </cell>
          <cell r="F12">
            <v>38.49</v>
          </cell>
        </row>
        <row r="13">
          <cell r="E13" t="str">
            <v>Yes</v>
          </cell>
          <cell r="F13">
            <v>139.53</v>
          </cell>
        </row>
        <row r="14">
          <cell r="E14" t="str">
            <v>Yes</v>
          </cell>
          <cell r="F14">
            <v>1000</v>
          </cell>
        </row>
      </sheetData>
      <sheetData sheetId="18">
        <row r="7">
          <cell r="E7" t="str">
            <v>Yes</v>
          </cell>
          <cell r="F7">
            <v>27.08</v>
          </cell>
        </row>
        <row r="8">
          <cell r="E8" t="str">
            <v>Yes</v>
          </cell>
          <cell r="F8">
            <v>633.05999999999995</v>
          </cell>
        </row>
        <row r="9">
          <cell r="E9" t="str">
            <v>Yes</v>
          </cell>
          <cell r="F9">
            <v>731.32</v>
          </cell>
        </row>
        <row r="10">
          <cell r="E10" t="str">
            <v>Yes</v>
          </cell>
          <cell r="F10">
            <v>35.479999999999997</v>
          </cell>
        </row>
        <row r="11">
          <cell r="E11" t="str">
            <v>Yes</v>
          </cell>
          <cell r="F11">
            <v>139.53</v>
          </cell>
        </row>
        <row r="12">
          <cell r="E12" t="str">
            <v>Yes</v>
          </cell>
          <cell r="F12">
            <v>481.75</v>
          </cell>
        </row>
        <row r="13">
          <cell r="E13" t="str">
            <v>Yes</v>
          </cell>
          <cell r="F13">
            <v>1000</v>
          </cell>
        </row>
        <row r="14">
          <cell r="E14" t="str">
            <v>Yes</v>
          </cell>
          <cell r="F14">
            <v>116.33</v>
          </cell>
        </row>
      </sheetData>
      <sheetData sheetId="19">
        <row r="7">
          <cell r="E7" t="str">
            <v>Yes</v>
          </cell>
          <cell r="F7">
            <v>40.659999999999997</v>
          </cell>
        </row>
        <row r="8">
          <cell r="E8" t="str">
            <v>Yes</v>
          </cell>
          <cell r="F8">
            <v>388.44</v>
          </cell>
        </row>
        <row r="9">
          <cell r="E9" t="str">
            <v>Yes</v>
          </cell>
          <cell r="F9">
            <v>35.479999999999997</v>
          </cell>
        </row>
        <row r="10">
          <cell r="E10" t="str">
            <v>Yes</v>
          </cell>
          <cell r="F10">
            <v>139.53</v>
          </cell>
        </row>
        <row r="11">
          <cell r="E11" t="str">
            <v>Yes</v>
          </cell>
          <cell r="F11">
            <v>708.62</v>
          </cell>
        </row>
        <row r="12">
          <cell r="E12" t="str">
            <v>Yes</v>
          </cell>
          <cell r="F12">
            <v>1000</v>
          </cell>
        </row>
      </sheetData>
      <sheetData sheetId="20">
        <row r="7">
          <cell r="E7" t="str">
            <v>Yes</v>
          </cell>
          <cell r="F7">
            <v>39.729999999999997</v>
          </cell>
        </row>
        <row r="8">
          <cell r="E8" t="str">
            <v>Yes</v>
          </cell>
          <cell r="F8">
            <v>569.29</v>
          </cell>
        </row>
        <row r="9">
          <cell r="E9" t="str">
            <v>Yes</v>
          </cell>
          <cell r="F9">
            <v>35.6</v>
          </cell>
        </row>
        <row r="10">
          <cell r="E10" t="str">
            <v>Yes</v>
          </cell>
          <cell r="F10">
            <v>139.53</v>
          </cell>
        </row>
        <row r="11">
          <cell r="E11" t="str">
            <v>Yes</v>
          </cell>
          <cell r="F11">
            <v>1000</v>
          </cell>
        </row>
      </sheetData>
      <sheetData sheetId="21">
        <row r="7">
          <cell r="E7" t="str">
            <v>Yes</v>
          </cell>
          <cell r="F7">
            <v>30.53</v>
          </cell>
        </row>
        <row r="8">
          <cell r="E8" t="str">
            <v>Yes</v>
          </cell>
          <cell r="F8">
            <v>1422.68</v>
          </cell>
        </row>
        <row r="9">
          <cell r="E9" t="str">
            <v>Yes</v>
          </cell>
          <cell r="F9">
            <v>533</v>
          </cell>
        </row>
        <row r="10">
          <cell r="E10" t="str">
            <v>Yes</v>
          </cell>
          <cell r="F10">
            <v>35.479999999999997</v>
          </cell>
        </row>
        <row r="11">
          <cell r="E11" t="str">
            <v>Yes</v>
          </cell>
          <cell r="F11">
            <v>139.53</v>
          </cell>
        </row>
        <row r="12">
          <cell r="E12" t="str">
            <v>Yes</v>
          </cell>
          <cell r="F12">
            <v>1000</v>
          </cell>
        </row>
      </sheetData>
      <sheetData sheetId="22">
        <row r="7">
          <cell r="E7" t="str">
            <v>Yes</v>
          </cell>
          <cell r="F7">
            <v>39.78</v>
          </cell>
        </row>
        <row r="8">
          <cell r="E8" t="str">
            <v>Yes</v>
          </cell>
          <cell r="F8">
            <v>441.67</v>
          </cell>
        </row>
        <row r="9">
          <cell r="E9" t="str">
            <v>Yes</v>
          </cell>
          <cell r="F9">
            <v>35.479999999999997</v>
          </cell>
        </row>
        <row r="10">
          <cell r="E10" t="str">
            <v>Yes</v>
          </cell>
          <cell r="F10">
            <v>433.99</v>
          </cell>
        </row>
        <row r="11">
          <cell r="E11" t="str">
            <v>Yes</v>
          </cell>
          <cell r="F11">
            <v>1000</v>
          </cell>
        </row>
        <row r="12">
          <cell r="E12" t="str">
            <v>yes</v>
          </cell>
          <cell r="F12">
            <v>139.53</v>
          </cell>
        </row>
      </sheetData>
      <sheetData sheetId="23">
        <row r="7">
          <cell r="E7" t="str">
            <v>Yes</v>
          </cell>
          <cell r="F7">
            <v>3.2</v>
          </cell>
        </row>
        <row r="8">
          <cell r="E8" t="str">
            <v>Yes</v>
          </cell>
          <cell r="F8">
            <v>333</v>
          </cell>
        </row>
        <row r="9">
          <cell r="E9" t="str">
            <v>Yes</v>
          </cell>
          <cell r="F9">
            <v>35.479999999999997</v>
          </cell>
        </row>
        <row r="10">
          <cell r="E10" t="str">
            <v>Yes</v>
          </cell>
          <cell r="F10">
            <v>139.53</v>
          </cell>
        </row>
        <row r="11">
          <cell r="E11" t="str">
            <v>Yes</v>
          </cell>
          <cell r="F11">
            <v>1000</v>
          </cell>
        </row>
      </sheetData>
      <sheetData sheetId="24">
        <row r="7">
          <cell r="E7" t="str">
            <v>Yes</v>
          </cell>
          <cell r="F7">
            <v>152</v>
          </cell>
        </row>
        <row r="8">
          <cell r="E8" t="str">
            <v>Yes</v>
          </cell>
          <cell r="F8">
            <v>36.17</v>
          </cell>
        </row>
        <row r="9">
          <cell r="E9" t="str">
            <v>Yes</v>
          </cell>
          <cell r="F9">
            <v>1771.06</v>
          </cell>
        </row>
        <row r="10">
          <cell r="E10" t="str">
            <v>Yes</v>
          </cell>
          <cell r="F10">
            <v>750.69</v>
          </cell>
        </row>
        <row r="11">
          <cell r="E11" t="str">
            <v>Yes</v>
          </cell>
          <cell r="F11">
            <v>32.549999999999997</v>
          </cell>
        </row>
        <row r="12">
          <cell r="E12" t="str">
            <v>Yes</v>
          </cell>
          <cell r="F12">
            <v>1612.37</v>
          </cell>
        </row>
        <row r="13">
          <cell r="E13" t="str">
            <v>Yes</v>
          </cell>
          <cell r="F13">
            <v>35.479999999999997</v>
          </cell>
        </row>
        <row r="14">
          <cell r="E14" t="str">
            <v>Yes</v>
          </cell>
          <cell r="F14">
            <v>139.53</v>
          </cell>
        </row>
        <row r="15">
          <cell r="E15" t="str">
            <v>Yes</v>
          </cell>
          <cell r="F15">
            <v>1000</v>
          </cell>
        </row>
      </sheetData>
      <sheetData sheetId="25">
        <row r="7">
          <cell r="E7" t="str">
            <v>Yes</v>
          </cell>
          <cell r="F7">
            <v>46.93</v>
          </cell>
        </row>
        <row r="8">
          <cell r="E8" t="str">
            <v>Yes</v>
          </cell>
          <cell r="F8">
            <v>716.05</v>
          </cell>
        </row>
        <row r="9">
          <cell r="E9" t="str">
            <v>Yes</v>
          </cell>
          <cell r="F9">
            <v>95</v>
          </cell>
        </row>
        <row r="10">
          <cell r="E10" t="str">
            <v>Yes</v>
          </cell>
          <cell r="F10">
            <v>35.479999999999997</v>
          </cell>
        </row>
        <row r="11">
          <cell r="E11" t="str">
            <v>Yes</v>
          </cell>
          <cell r="F11">
            <v>139.53</v>
          </cell>
        </row>
        <row r="12">
          <cell r="E12" t="str">
            <v>Yes</v>
          </cell>
          <cell r="F12">
            <v>2572</v>
          </cell>
        </row>
        <row r="13">
          <cell r="E13" t="str">
            <v>Yes</v>
          </cell>
          <cell r="F13">
            <v>1000</v>
          </cell>
        </row>
      </sheetData>
      <sheetData sheetId="26">
        <row r="7">
          <cell r="E7" t="str">
            <v>Yes</v>
          </cell>
          <cell r="F7">
            <v>132.18</v>
          </cell>
        </row>
        <row r="8">
          <cell r="E8" t="str">
            <v>Yes</v>
          </cell>
          <cell r="F8">
            <v>1279.5</v>
          </cell>
        </row>
        <row r="9">
          <cell r="E9" t="str">
            <v>Yes</v>
          </cell>
          <cell r="F9">
            <v>49.13</v>
          </cell>
        </row>
        <row r="10">
          <cell r="E10" t="str">
            <v>Yes</v>
          </cell>
          <cell r="F10">
            <v>35.6</v>
          </cell>
        </row>
        <row r="11">
          <cell r="E11" t="str">
            <v>Yes</v>
          </cell>
          <cell r="F11">
            <v>139.53</v>
          </cell>
        </row>
        <row r="12">
          <cell r="E12" t="str">
            <v>Yes</v>
          </cell>
          <cell r="F12">
            <v>1000</v>
          </cell>
        </row>
      </sheetData>
      <sheetData sheetId="27">
        <row r="7">
          <cell r="E7" t="str">
            <v>Yes</v>
          </cell>
          <cell r="F7">
            <v>10000</v>
          </cell>
        </row>
        <row r="8">
          <cell r="E8" t="str">
            <v>Yes</v>
          </cell>
          <cell r="F8">
            <v>1771.06</v>
          </cell>
        </row>
        <row r="9">
          <cell r="E9" t="str">
            <v>Yes</v>
          </cell>
          <cell r="F9">
            <v>1767.81</v>
          </cell>
        </row>
        <row r="10">
          <cell r="E10" t="str">
            <v>Yes</v>
          </cell>
          <cell r="F10">
            <v>51.24</v>
          </cell>
        </row>
        <row r="11">
          <cell r="E11" t="str">
            <v>Yes</v>
          </cell>
          <cell r="F11">
            <v>70</v>
          </cell>
        </row>
        <row r="12">
          <cell r="E12" t="str">
            <v>Yes</v>
          </cell>
          <cell r="F12">
            <v>10000</v>
          </cell>
        </row>
        <row r="13">
          <cell r="E13" t="str">
            <v>Yes</v>
          </cell>
          <cell r="F13">
            <v>413.62</v>
          </cell>
        </row>
        <row r="14">
          <cell r="E14" t="str">
            <v>Yes</v>
          </cell>
          <cell r="F14">
            <v>35.479999999999997</v>
          </cell>
        </row>
        <row r="15">
          <cell r="E15" t="str">
            <v>Yes</v>
          </cell>
          <cell r="F15">
            <v>37.6</v>
          </cell>
        </row>
        <row r="16">
          <cell r="E16" t="str">
            <v>Yes</v>
          </cell>
          <cell r="F16">
            <v>139.53</v>
          </cell>
        </row>
        <row r="17">
          <cell r="E17" t="str">
            <v>Yes</v>
          </cell>
          <cell r="F17">
            <v>1000</v>
          </cell>
        </row>
        <row r="18">
          <cell r="E18" t="str">
            <v>No</v>
          </cell>
          <cell r="F18">
            <v>303.20999999999998</v>
          </cell>
        </row>
        <row r="19">
          <cell r="E19" t="str">
            <v>No</v>
          </cell>
          <cell r="F19">
            <v>3943.25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troduction"/>
      <sheetName val="Instructions"/>
      <sheetName val="Company information"/>
      <sheetName val="BR1"/>
      <sheetName val="BR2"/>
      <sheetName val="BR3"/>
      <sheetName val="BR4"/>
      <sheetName val="BR5"/>
      <sheetName val="BR6"/>
      <sheetName val="BR7"/>
      <sheetName val="BR8"/>
      <sheetName val="BR9"/>
      <sheetName val="BR10"/>
      <sheetName val="BR11"/>
      <sheetName val="BR12"/>
      <sheetName val="BP1"/>
      <sheetName val="BP2"/>
      <sheetName val="BP3"/>
      <sheetName val="BP4"/>
      <sheetName val="BP5"/>
      <sheetName val="BP6"/>
      <sheetName val="BP7"/>
      <sheetName val="BP8"/>
      <sheetName val="BP9"/>
      <sheetName val="BP10"/>
      <sheetName val="BP11"/>
      <sheetName val="BP12"/>
      <sheetName val="PC1"/>
      <sheetName val="PC2"/>
      <sheetName val="PC3"/>
      <sheetName val="PC4"/>
      <sheetName val="PC5"/>
      <sheetName val="PC6"/>
      <sheetName val="PC7"/>
      <sheetName val="PC8"/>
      <sheetName val="PC9"/>
      <sheetName val="PC10"/>
      <sheetName val="PC11"/>
      <sheetName val="PC12"/>
      <sheetName val="Summary"/>
      <sheetName val="Bank summary"/>
      <sheetName val="VAT return"/>
      <sheetName val="IR35 Calc Instructions"/>
      <sheetName val="IR35 Calculator 2003 - 04"/>
    </sheetNames>
    <sheetDataSet>
      <sheetData sheetId="0" refreshError="1"/>
      <sheetData sheetId="1" refreshError="1"/>
      <sheetData sheetId="2" refreshError="1"/>
      <sheetData sheetId="3"/>
      <sheetData sheetId="4">
        <row r="8">
          <cell r="E8" t="str">
            <v>Yes</v>
          </cell>
          <cell r="F8">
            <v>1299.55</v>
          </cell>
        </row>
        <row r="9">
          <cell r="E9" t="str">
            <v>Yes</v>
          </cell>
          <cell r="F9">
            <v>31.84</v>
          </cell>
        </row>
      </sheetData>
      <sheetData sheetId="5">
        <row r="7">
          <cell r="E7" t="str">
            <v>Yes</v>
          </cell>
          <cell r="F7">
            <v>25.34</v>
          </cell>
        </row>
      </sheetData>
      <sheetData sheetId="6">
        <row r="7">
          <cell r="E7" t="str">
            <v>Yes</v>
          </cell>
          <cell r="F7">
            <v>12.76</v>
          </cell>
        </row>
      </sheetData>
      <sheetData sheetId="7">
        <row r="7">
          <cell r="E7" t="str">
            <v>Yes</v>
          </cell>
          <cell r="F7">
            <v>9.34</v>
          </cell>
        </row>
      </sheetData>
      <sheetData sheetId="8"/>
      <sheetData sheetId="9">
        <row r="7">
          <cell r="E7" t="str">
            <v>Yes</v>
          </cell>
          <cell r="F7">
            <v>2941.85</v>
          </cell>
        </row>
        <row r="8">
          <cell r="E8" t="str">
            <v>Yes</v>
          </cell>
          <cell r="F8">
            <v>530.04999999999995</v>
          </cell>
        </row>
      </sheetData>
      <sheetData sheetId="10">
        <row r="7">
          <cell r="E7" t="str">
            <v>Yes</v>
          </cell>
          <cell r="F7">
            <v>3059.94</v>
          </cell>
        </row>
        <row r="8">
          <cell r="E8" t="str">
            <v>Yes</v>
          </cell>
          <cell r="F8">
            <v>3663.3</v>
          </cell>
        </row>
        <row r="9">
          <cell r="E9" t="str">
            <v>Yes</v>
          </cell>
          <cell r="F9">
            <v>4.21</v>
          </cell>
        </row>
      </sheetData>
      <sheetData sheetId="11">
        <row r="7">
          <cell r="E7" t="str">
            <v>Yes</v>
          </cell>
          <cell r="F7">
            <v>4800.46</v>
          </cell>
        </row>
        <row r="8">
          <cell r="E8" t="str">
            <v>Yes</v>
          </cell>
          <cell r="F8">
            <v>3036.79</v>
          </cell>
        </row>
        <row r="9">
          <cell r="E9" t="str">
            <v>Yes</v>
          </cell>
          <cell r="F9">
            <v>146.88</v>
          </cell>
        </row>
        <row r="10">
          <cell r="E10" t="str">
            <v>Yes</v>
          </cell>
          <cell r="F10">
            <v>17.95</v>
          </cell>
        </row>
      </sheetData>
      <sheetData sheetId="12">
        <row r="7">
          <cell r="E7" t="str">
            <v>Yes</v>
          </cell>
          <cell r="F7">
            <v>2958.65</v>
          </cell>
        </row>
        <row r="8">
          <cell r="E8" t="str">
            <v>Yes</v>
          </cell>
          <cell r="F8">
            <v>3057.31</v>
          </cell>
        </row>
        <row r="9">
          <cell r="E9" t="str">
            <v>Yes</v>
          </cell>
          <cell r="F9">
            <v>37.130000000000003</v>
          </cell>
        </row>
      </sheetData>
      <sheetData sheetId="13">
        <row r="7">
          <cell r="E7" t="str">
            <v>Yes</v>
          </cell>
          <cell r="F7">
            <v>1597.3</v>
          </cell>
        </row>
        <row r="8">
          <cell r="E8" t="str">
            <v>Yes</v>
          </cell>
          <cell r="F8">
            <v>8225</v>
          </cell>
        </row>
        <row r="9">
          <cell r="E9" t="str">
            <v>Yes</v>
          </cell>
          <cell r="F9">
            <v>3489.63</v>
          </cell>
        </row>
        <row r="10">
          <cell r="E10" t="str">
            <v>Yes</v>
          </cell>
          <cell r="F10">
            <v>64.069999999999993</v>
          </cell>
        </row>
      </sheetData>
      <sheetData sheetId="14">
        <row r="7">
          <cell r="E7" t="str">
            <v>Yes</v>
          </cell>
          <cell r="F7">
            <v>3.38</v>
          </cell>
        </row>
        <row r="8">
          <cell r="E8" t="str">
            <v>Yes</v>
          </cell>
          <cell r="F8">
            <v>881.25</v>
          </cell>
        </row>
        <row r="9">
          <cell r="E9" t="str">
            <v>Yes</v>
          </cell>
          <cell r="F9">
            <v>5291.26</v>
          </cell>
        </row>
        <row r="10">
          <cell r="E10" t="str">
            <v>Yes</v>
          </cell>
          <cell r="F10">
            <v>3435</v>
          </cell>
        </row>
        <row r="11">
          <cell r="E11" t="str">
            <v>Yes</v>
          </cell>
          <cell r="F11">
            <v>67.599999999999994</v>
          </cell>
        </row>
      </sheetData>
      <sheetData sheetId="15">
        <row r="7">
          <cell r="E7" t="str">
            <v>Yes</v>
          </cell>
          <cell r="F7">
            <v>3092.6</v>
          </cell>
        </row>
        <row r="8">
          <cell r="E8" t="str">
            <v>Yes</v>
          </cell>
          <cell r="F8">
            <v>4168.78</v>
          </cell>
        </row>
        <row r="9">
          <cell r="E9" t="str">
            <v>Yes</v>
          </cell>
          <cell r="F9">
            <v>1365.84</v>
          </cell>
        </row>
        <row r="10">
          <cell r="E10" t="str">
            <v>Yes</v>
          </cell>
          <cell r="F10">
            <v>41.71</v>
          </cell>
        </row>
      </sheetData>
      <sheetData sheetId="16">
        <row r="7">
          <cell r="F7">
            <v>40.200000000000003</v>
          </cell>
        </row>
        <row r="8">
          <cell r="F8">
            <v>38.49</v>
          </cell>
        </row>
        <row r="9">
          <cell r="F9">
            <v>145.4</v>
          </cell>
        </row>
        <row r="10">
          <cell r="F10">
            <v>1000</v>
          </cell>
        </row>
      </sheetData>
      <sheetData sheetId="17">
        <row r="7">
          <cell r="E7" t="str">
            <v>yes</v>
          </cell>
          <cell r="F7">
            <v>1315.5</v>
          </cell>
        </row>
        <row r="8">
          <cell r="E8" t="str">
            <v>Yes</v>
          </cell>
          <cell r="F8">
            <v>6.4</v>
          </cell>
        </row>
        <row r="9">
          <cell r="E9" t="str">
            <v>Yes</v>
          </cell>
          <cell r="F9">
            <v>925.95</v>
          </cell>
        </row>
        <row r="10">
          <cell r="E10" t="str">
            <v>Yes</v>
          </cell>
          <cell r="F10">
            <v>36.840000000000003</v>
          </cell>
        </row>
        <row r="11">
          <cell r="E11" t="str">
            <v>Yes</v>
          </cell>
          <cell r="F11">
            <v>822.29</v>
          </cell>
        </row>
        <row r="12">
          <cell r="E12" t="str">
            <v>Yes</v>
          </cell>
          <cell r="F12">
            <v>38.49</v>
          </cell>
        </row>
        <row r="13">
          <cell r="E13" t="str">
            <v>Yes</v>
          </cell>
          <cell r="F13">
            <v>139.53</v>
          </cell>
        </row>
        <row r="14">
          <cell r="E14" t="str">
            <v>Yes</v>
          </cell>
          <cell r="F14">
            <v>1000</v>
          </cell>
        </row>
      </sheetData>
      <sheetData sheetId="18">
        <row r="7">
          <cell r="E7" t="str">
            <v>Yes</v>
          </cell>
          <cell r="F7">
            <v>27.08</v>
          </cell>
        </row>
        <row r="8">
          <cell r="E8" t="str">
            <v>Yes</v>
          </cell>
          <cell r="F8">
            <v>633.05999999999995</v>
          </cell>
        </row>
        <row r="9">
          <cell r="E9" t="str">
            <v>Yes</v>
          </cell>
          <cell r="F9">
            <v>731.32</v>
          </cell>
        </row>
        <row r="10">
          <cell r="E10" t="str">
            <v>Yes</v>
          </cell>
          <cell r="F10">
            <v>35.479999999999997</v>
          </cell>
        </row>
        <row r="11">
          <cell r="E11" t="str">
            <v>Yes</v>
          </cell>
          <cell r="F11">
            <v>139.53</v>
          </cell>
        </row>
        <row r="12">
          <cell r="E12" t="str">
            <v>Yes</v>
          </cell>
          <cell r="F12">
            <v>481.75</v>
          </cell>
        </row>
        <row r="13">
          <cell r="E13" t="str">
            <v>Yes</v>
          </cell>
          <cell r="F13">
            <v>1000</v>
          </cell>
        </row>
        <row r="14">
          <cell r="E14" t="str">
            <v>Yes</v>
          </cell>
          <cell r="F14">
            <v>116.33</v>
          </cell>
        </row>
      </sheetData>
      <sheetData sheetId="19">
        <row r="7">
          <cell r="E7" t="str">
            <v>Yes</v>
          </cell>
          <cell r="F7">
            <v>40.659999999999997</v>
          </cell>
        </row>
        <row r="8">
          <cell r="E8" t="str">
            <v>Yes</v>
          </cell>
          <cell r="F8">
            <v>388.44</v>
          </cell>
        </row>
        <row r="9">
          <cell r="E9" t="str">
            <v>Yes</v>
          </cell>
          <cell r="F9">
            <v>35.479999999999997</v>
          </cell>
        </row>
        <row r="10">
          <cell r="E10" t="str">
            <v>Yes</v>
          </cell>
          <cell r="F10">
            <v>139.53</v>
          </cell>
        </row>
        <row r="11">
          <cell r="E11" t="str">
            <v>Yes</v>
          </cell>
          <cell r="F11">
            <v>708.62</v>
          </cell>
        </row>
        <row r="12">
          <cell r="E12" t="str">
            <v>Yes</v>
          </cell>
          <cell r="F12">
            <v>1000</v>
          </cell>
        </row>
      </sheetData>
      <sheetData sheetId="20">
        <row r="7">
          <cell r="E7" t="str">
            <v>Yes</v>
          </cell>
          <cell r="F7">
            <v>39.729999999999997</v>
          </cell>
        </row>
        <row r="8">
          <cell r="E8" t="str">
            <v>Yes</v>
          </cell>
          <cell r="F8">
            <v>569.29</v>
          </cell>
        </row>
        <row r="9">
          <cell r="E9" t="str">
            <v>Yes</v>
          </cell>
          <cell r="F9">
            <v>35.6</v>
          </cell>
        </row>
        <row r="10">
          <cell r="E10" t="str">
            <v>Yes</v>
          </cell>
          <cell r="F10">
            <v>139.53</v>
          </cell>
        </row>
        <row r="11">
          <cell r="E11" t="str">
            <v>Yes</v>
          </cell>
          <cell r="F11">
            <v>1000</v>
          </cell>
        </row>
      </sheetData>
      <sheetData sheetId="21">
        <row r="7">
          <cell r="E7" t="str">
            <v>Yes</v>
          </cell>
          <cell r="F7">
            <v>30.53</v>
          </cell>
        </row>
        <row r="8">
          <cell r="E8" t="str">
            <v>Yes</v>
          </cell>
          <cell r="F8">
            <v>1422.68</v>
          </cell>
        </row>
        <row r="9">
          <cell r="E9" t="str">
            <v>Yes</v>
          </cell>
          <cell r="F9">
            <v>533</v>
          </cell>
        </row>
        <row r="10">
          <cell r="E10" t="str">
            <v>Yes</v>
          </cell>
          <cell r="F10">
            <v>35.479999999999997</v>
          </cell>
        </row>
        <row r="11">
          <cell r="E11" t="str">
            <v>Yes</v>
          </cell>
          <cell r="F11">
            <v>139.53</v>
          </cell>
        </row>
        <row r="12">
          <cell r="E12" t="str">
            <v>Yes</v>
          </cell>
          <cell r="F12">
            <v>1000</v>
          </cell>
        </row>
      </sheetData>
      <sheetData sheetId="22">
        <row r="7">
          <cell r="E7" t="str">
            <v>Yes</v>
          </cell>
          <cell r="F7">
            <v>39.78</v>
          </cell>
        </row>
        <row r="8">
          <cell r="E8" t="str">
            <v>Yes</v>
          </cell>
          <cell r="F8">
            <v>441.67</v>
          </cell>
        </row>
        <row r="9">
          <cell r="E9" t="str">
            <v>Yes</v>
          </cell>
          <cell r="F9">
            <v>35.479999999999997</v>
          </cell>
        </row>
        <row r="10">
          <cell r="E10" t="str">
            <v>Yes</v>
          </cell>
          <cell r="F10">
            <v>433.99</v>
          </cell>
        </row>
        <row r="11">
          <cell r="E11" t="str">
            <v>Yes</v>
          </cell>
          <cell r="F11">
            <v>1000</v>
          </cell>
        </row>
        <row r="12">
          <cell r="E12" t="str">
            <v>yes</v>
          </cell>
          <cell r="F12">
            <v>139.53</v>
          </cell>
        </row>
      </sheetData>
      <sheetData sheetId="23">
        <row r="7">
          <cell r="E7" t="str">
            <v>Yes</v>
          </cell>
          <cell r="F7">
            <v>3.2</v>
          </cell>
        </row>
        <row r="8">
          <cell r="E8" t="str">
            <v>Yes</v>
          </cell>
          <cell r="F8">
            <v>333</v>
          </cell>
        </row>
        <row r="9">
          <cell r="E9" t="str">
            <v>Yes</v>
          </cell>
          <cell r="F9">
            <v>35.479999999999997</v>
          </cell>
        </row>
        <row r="10">
          <cell r="E10" t="str">
            <v>Yes</v>
          </cell>
          <cell r="F10">
            <v>139.53</v>
          </cell>
        </row>
        <row r="11">
          <cell r="E11" t="str">
            <v>Yes</v>
          </cell>
          <cell r="F11">
            <v>1000</v>
          </cell>
        </row>
      </sheetData>
      <sheetData sheetId="24">
        <row r="7">
          <cell r="E7" t="str">
            <v>Yes</v>
          </cell>
          <cell r="F7">
            <v>152</v>
          </cell>
        </row>
        <row r="8">
          <cell r="E8" t="str">
            <v>Yes</v>
          </cell>
          <cell r="F8">
            <v>36.17</v>
          </cell>
        </row>
        <row r="9">
          <cell r="E9" t="str">
            <v>Yes</v>
          </cell>
          <cell r="F9">
            <v>1771.06</v>
          </cell>
        </row>
        <row r="10">
          <cell r="E10" t="str">
            <v>Yes</v>
          </cell>
          <cell r="F10">
            <v>750.69</v>
          </cell>
        </row>
        <row r="11">
          <cell r="E11" t="str">
            <v>Yes</v>
          </cell>
          <cell r="F11">
            <v>32.549999999999997</v>
          </cell>
        </row>
        <row r="12">
          <cell r="E12" t="str">
            <v>Yes</v>
          </cell>
          <cell r="F12">
            <v>1612.37</v>
          </cell>
        </row>
        <row r="13">
          <cell r="E13" t="str">
            <v>Yes</v>
          </cell>
          <cell r="F13">
            <v>35.479999999999997</v>
          </cell>
        </row>
        <row r="14">
          <cell r="E14" t="str">
            <v>Yes</v>
          </cell>
          <cell r="F14">
            <v>139.53</v>
          </cell>
        </row>
        <row r="15">
          <cell r="E15" t="str">
            <v>Yes</v>
          </cell>
          <cell r="F15">
            <v>1000</v>
          </cell>
        </row>
      </sheetData>
      <sheetData sheetId="25">
        <row r="7">
          <cell r="E7" t="str">
            <v>Yes</v>
          </cell>
          <cell r="F7">
            <v>46.93</v>
          </cell>
        </row>
        <row r="8">
          <cell r="E8" t="str">
            <v>Yes</v>
          </cell>
          <cell r="F8">
            <v>716.05</v>
          </cell>
        </row>
        <row r="9">
          <cell r="E9" t="str">
            <v>Yes</v>
          </cell>
          <cell r="F9">
            <v>95</v>
          </cell>
        </row>
        <row r="10">
          <cell r="E10" t="str">
            <v>Yes</v>
          </cell>
          <cell r="F10">
            <v>35.479999999999997</v>
          </cell>
        </row>
        <row r="11">
          <cell r="E11" t="str">
            <v>Yes</v>
          </cell>
          <cell r="F11">
            <v>139.53</v>
          </cell>
        </row>
        <row r="12">
          <cell r="E12" t="str">
            <v>Yes</v>
          </cell>
          <cell r="F12">
            <v>2572</v>
          </cell>
        </row>
        <row r="13">
          <cell r="E13" t="str">
            <v>Yes</v>
          </cell>
          <cell r="F13">
            <v>1000</v>
          </cell>
        </row>
      </sheetData>
      <sheetData sheetId="26">
        <row r="7">
          <cell r="E7" t="str">
            <v>Yes</v>
          </cell>
          <cell r="F7">
            <v>132.18</v>
          </cell>
        </row>
        <row r="8">
          <cell r="E8" t="str">
            <v>Yes</v>
          </cell>
          <cell r="F8">
            <v>1279.5</v>
          </cell>
        </row>
        <row r="9">
          <cell r="E9" t="str">
            <v>Yes</v>
          </cell>
          <cell r="F9">
            <v>49.13</v>
          </cell>
        </row>
        <row r="10">
          <cell r="E10" t="str">
            <v>Yes</v>
          </cell>
          <cell r="F10">
            <v>35.6</v>
          </cell>
        </row>
        <row r="11">
          <cell r="E11" t="str">
            <v>Yes</v>
          </cell>
          <cell r="F11">
            <v>139.53</v>
          </cell>
        </row>
        <row r="12">
          <cell r="E12" t="str">
            <v>Yes</v>
          </cell>
          <cell r="F12">
            <v>1000</v>
          </cell>
        </row>
      </sheetData>
      <sheetData sheetId="27">
        <row r="7">
          <cell r="E7" t="str">
            <v>Yes</v>
          </cell>
          <cell r="F7">
            <v>10000</v>
          </cell>
        </row>
        <row r="8">
          <cell r="E8" t="str">
            <v>Yes</v>
          </cell>
          <cell r="F8">
            <v>1771.06</v>
          </cell>
        </row>
        <row r="9">
          <cell r="E9" t="str">
            <v>Yes</v>
          </cell>
          <cell r="F9">
            <v>1767.81</v>
          </cell>
        </row>
        <row r="10">
          <cell r="E10" t="str">
            <v>Yes</v>
          </cell>
          <cell r="F10">
            <v>51.24</v>
          </cell>
        </row>
        <row r="11">
          <cell r="E11" t="str">
            <v>Yes</v>
          </cell>
          <cell r="F11">
            <v>70</v>
          </cell>
        </row>
        <row r="12">
          <cell r="E12" t="str">
            <v>Yes</v>
          </cell>
          <cell r="F12">
            <v>10000</v>
          </cell>
        </row>
        <row r="13">
          <cell r="E13" t="str">
            <v>Yes</v>
          </cell>
          <cell r="F13">
            <v>413.62</v>
          </cell>
        </row>
        <row r="14">
          <cell r="E14" t="str">
            <v>Yes</v>
          </cell>
          <cell r="F14">
            <v>35.479999999999997</v>
          </cell>
        </row>
        <row r="15">
          <cell r="E15" t="str">
            <v>Yes</v>
          </cell>
          <cell r="F15">
            <v>37.6</v>
          </cell>
        </row>
        <row r="16">
          <cell r="E16" t="str">
            <v>Yes</v>
          </cell>
          <cell r="F16">
            <v>139.53</v>
          </cell>
        </row>
        <row r="17">
          <cell r="E17" t="str">
            <v>Yes</v>
          </cell>
          <cell r="F17">
            <v>1000</v>
          </cell>
        </row>
        <row r="18">
          <cell r="E18" t="str">
            <v>No</v>
          </cell>
          <cell r="F18">
            <v>303.20999999999998</v>
          </cell>
        </row>
        <row r="19">
          <cell r="E19" t="str">
            <v>No</v>
          </cell>
          <cell r="F19">
            <v>3943.25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port Setup Sheet"/>
      <sheetName val="Business Summary Financial"/>
      <sheetName val="Unit Breakup"/>
      <sheetName val="Segment"/>
      <sheetName val="Ughai"/>
      <sheetName val="KPM"/>
      <sheetName val="Project Progress"/>
      <sheetName val="Initiative Progress"/>
      <sheetName val="Business Position Paper"/>
      <sheetName val="Consolidated Busines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Report_Setup_Sheet1"/>
      <sheetName val="Business_Summary_Financial1"/>
      <sheetName val="Unit_Breakup1"/>
      <sheetName val="Project_Progress1"/>
      <sheetName val="Initiative_Progress1"/>
      <sheetName val="Business_Position_Paper1"/>
      <sheetName val="Consolidated_Business1"/>
      <sheetName val="Report_Setup_Sheet"/>
      <sheetName val="Business_Summary_Financial"/>
      <sheetName val="Unit_Breakup"/>
      <sheetName val="Project_Progress"/>
      <sheetName val="Initiative_Progress"/>
      <sheetName val="Business_Position_Paper"/>
      <sheetName val="Consolidated_Business"/>
      <sheetName val="Masters"/>
      <sheetName val="bloomberg Data"/>
      <sheetName val="Working"/>
      <sheetName val="FG"/>
      <sheetName val="Input"/>
      <sheetName val="Valuation"/>
      <sheetName val="IRR"/>
      <sheetName val="Assumptions"/>
      <sheetName val="Detail Grouping"/>
      <sheetName val="LEDGER"/>
      <sheetName val="COA-IPCL"/>
      <sheetName val="Report_Setup_Sheet2"/>
      <sheetName val="Business_Summary_Financial2"/>
      <sheetName val="Unit_Breakup2"/>
      <sheetName val="Project_Progress2"/>
      <sheetName val="Initiative_Progress2"/>
      <sheetName val="Business_Position_Paper2"/>
      <sheetName val="Consolidated_Business2"/>
      <sheetName val="bloomberg_Data"/>
      <sheetName val="Detail_Grouping"/>
    </sheetNames>
    <sheetDataSet>
      <sheetData sheetId="0" refreshError="1"/>
      <sheetData sheetId="1" refreshError="1">
        <row r="50">
          <cell r="B50" t="str">
            <v>Carbon Black</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0">
          <cell r="B50" t="str">
            <v>Carbon Black</v>
          </cell>
        </row>
      </sheetData>
      <sheetData sheetId="27"/>
      <sheetData sheetId="28"/>
      <sheetData sheetId="29"/>
      <sheetData sheetId="30"/>
      <sheetData sheetId="31"/>
      <sheetData sheetId="32"/>
      <sheetData sheetId="33">
        <row r="50">
          <cell r="B50" t="str">
            <v>Carbon Black</v>
          </cell>
        </row>
      </sheetData>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0">
          <cell r="B50" t="str">
            <v>Carbon Black</v>
          </cell>
        </row>
      </sheetData>
      <sheetData sheetId="52"/>
      <sheetData sheetId="53"/>
      <sheetData sheetId="54"/>
      <sheetData sheetId="55"/>
      <sheetData sheetId="56"/>
      <sheetData sheetId="57"/>
      <sheetData sheetId="58"/>
      <sheetData sheetId="5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P&amp;L"/>
      <sheetName val="BS"/>
      <sheetName val="Cash Flow"/>
      <sheetName val="Stks"/>
      <sheetName val="Stk Stm"/>
      <sheetName val="CPC"/>
      <sheetName val="PwPf-Company"/>
      <sheetName val="Manu Exp-Co"/>
      <sheetName val="S&amp;D-Co"/>
      <sheetName val="Admin Exp-Co"/>
      <sheetName val="Salary"/>
      <sheetName val="PwPf-Depot"/>
      <sheetName val="S&amp;D-Oh"/>
      <sheetName val="S&amp;D-Sales"/>
      <sheetName val="Field Staff"/>
      <sheetName val="R&amp;D-Exp"/>
      <sheetName val="Factory"/>
      <sheetName val="Costing"/>
      <sheetName val="Factory-OH"/>
      <sheetName val="Wages"/>
      <sheetName val="Out-Std"/>
      <sheetName val="Cost Os"/>
      <sheetName val="capax summ"/>
      <sheetName val="projec_detail"/>
      <sheetName val="control cwip"/>
      <sheetName val="Csa Inv"/>
      <sheetName val="R&amp;D"/>
      <sheetName val="Advt"/>
      <sheetName val="NPC-CPC"/>
      <sheetName val="State Summ"/>
      <sheetName val="Unit Summ"/>
      <sheetName val="State Vol"/>
      <sheetName val="Volumes"/>
      <sheetName val="Cash_Flow1"/>
      <sheetName val="Stk_Stm1"/>
      <sheetName val="Manu_Exp-Co1"/>
      <sheetName val="Admin_Exp-Co1"/>
      <sheetName val="Field_Staff1"/>
      <sheetName val="Cost_Os1"/>
      <sheetName val="capax_summ1"/>
      <sheetName val="control_cwip1"/>
      <sheetName val="Csa_Inv1"/>
      <sheetName val="State_Summ1"/>
      <sheetName val="Unit_Summ1"/>
      <sheetName val="State_Vol1"/>
      <sheetName val="Cash_Flow"/>
      <sheetName val="Stk_Stm"/>
      <sheetName val="Manu_Exp-Co"/>
      <sheetName val="Admin_Exp-Co"/>
      <sheetName val="Field_Staff"/>
      <sheetName val="Cost_Os"/>
      <sheetName val="capax_summ"/>
      <sheetName val="control_cwip"/>
      <sheetName val="Csa_Inv"/>
      <sheetName val="State_Summ"/>
      <sheetName val="Unit_Summ"/>
      <sheetName val="State_Vol"/>
      <sheetName val="Cash_Flow2"/>
      <sheetName val="Stk_Stm2"/>
      <sheetName val="Manu_Exp-Co2"/>
      <sheetName val="Admin_Exp-Co2"/>
      <sheetName val="Field_Staff2"/>
      <sheetName val="Cost_Os2"/>
      <sheetName val="capax_summ2"/>
      <sheetName val="control_cwip2"/>
      <sheetName val="Csa_Inv2"/>
      <sheetName val="State_Summ2"/>
      <sheetName val="Unit_Summ2"/>
      <sheetName val="State_Vo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ow r="7">
          <cell r="A7">
            <v>1</v>
          </cell>
          <cell r="B7" t="str">
            <v>94C</v>
          </cell>
          <cell r="C7">
            <v>13711</v>
          </cell>
          <cell r="D7">
            <v>0</v>
          </cell>
          <cell r="E7">
            <v>0</v>
          </cell>
          <cell r="F7">
            <v>0</v>
          </cell>
          <cell r="G7">
            <v>0</v>
          </cell>
          <cell r="I7">
            <v>13711</v>
          </cell>
          <cell r="J7" t="str">
            <v>0</v>
          </cell>
          <cell r="L7">
            <v>533</v>
          </cell>
          <cell r="N7">
            <v>39094</v>
          </cell>
          <cell r="P7">
            <v>58</v>
          </cell>
          <cell r="Q7" t="str">
            <v>No</v>
          </cell>
          <cell r="R7">
            <v>0</v>
          </cell>
          <cell r="S7">
            <v>0</v>
          </cell>
        </row>
        <row r="8">
          <cell r="A8">
            <v>2</v>
          </cell>
          <cell r="B8" t="str">
            <v>94J</v>
          </cell>
          <cell r="C8">
            <v>5610</v>
          </cell>
          <cell r="D8">
            <v>0</v>
          </cell>
          <cell r="E8">
            <v>0</v>
          </cell>
          <cell r="F8">
            <v>0</v>
          </cell>
          <cell r="G8">
            <v>0</v>
          </cell>
          <cell r="I8">
            <v>5610</v>
          </cell>
          <cell r="J8" t="str">
            <v>0</v>
          </cell>
          <cell r="L8">
            <v>533</v>
          </cell>
          <cell r="N8">
            <v>39094</v>
          </cell>
          <cell r="P8">
            <v>56</v>
          </cell>
          <cell r="Q8" t="str">
            <v>No</v>
          </cell>
          <cell r="R8">
            <v>0</v>
          </cell>
          <cell r="S8">
            <v>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I51">
            <v>0</v>
          </cell>
        </row>
        <row r="52">
          <cell r="I52">
            <v>0</v>
          </cell>
        </row>
        <row r="53">
          <cell r="I53">
            <v>0</v>
          </cell>
        </row>
        <row r="54">
          <cell r="I54">
            <v>0</v>
          </cell>
        </row>
        <row r="55">
          <cell r="I55">
            <v>0</v>
          </cell>
        </row>
        <row r="56">
          <cell r="I56">
            <v>0</v>
          </cell>
        </row>
        <row r="57">
          <cell r="I57">
            <v>0</v>
          </cell>
        </row>
        <row r="58">
          <cell r="A58" t="str">
            <v>Total</v>
          </cell>
          <cell r="C58">
            <v>19321</v>
          </cell>
          <cell r="D58">
            <v>0</v>
          </cell>
          <cell r="E58">
            <v>0</v>
          </cell>
          <cell r="F58">
            <v>0</v>
          </cell>
          <cell r="G58">
            <v>0</v>
          </cell>
          <cell r="H58">
            <v>0</v>
          </cell>
          <cell r="I58">
            <v>19321</v>
          </cell>
          <cell r="R58">
            <v>0</v>
          </cell>
          <cell r="S58">
            <v>0</v>
          </cell>
        </row>
      </sheetData>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sheetData sheetId="2">
        <row r="7">
          <cell r="A7">
            <v>1</v>
          </cell>
          <cell r="B7" t="str">
            <v>94C</v>
          </cell>
          <cell r="G7">
            <v>0</v>
          </cell>
        </row>
        <row r="8">
          <cell r="A8">
            <v>2</v>
          </cell>
          <cell r="B8" t="str">
            <v>94C</v>
          </cell>
        </row>
        <row r="9">
          <cell r="A9">
            <v>3</v>
          </cell>
          <cell r="B9" t="str">
            <v>94C</v>
          </cell>
        </row>
        <row r="10">
          <cell r="A10">
            <v>4</v>
          </cell>
          <cell r="B10" t="str">
            <v>94J</v>
          </cell>
        </row>
        <row r="11">
          <cell r="A11">
            <v>5</v>
          </cell>
          <cell r="B11" t="str">
            <v>94H</v>
          </cell>
        </row>
        <row r="12">
          <cell r="A12">
            <v>6</v>
          </cell>
          <cell r="B12" t="str">
            <v>94A</v>
          </cell>
        </row>
        <row r="13">
          <cell r="A13">
            <v>7</v>
          </cell>
          <cell r="B13" t="str">
            <v>94A</v>
          </cell>
        </row>
        <row r="14">
          <cell r="I14">
            <v>0</v>
          </cell>
        </row>
        <row r="15">
          <cell r="A15" t="str">
            <v>Total</v>
          </cell>
          <cell r="C15">
            <v>0</v>
          </cell>
          <cell r="D15">
            <v>0</v>
          </cell>
          <cell r="E15">
            <v>0</v>
          </cell>
          <cell r="F15">
            <v>0</v>
          </cell>
          <cell r="G15">
            <v>0</v>
          </cell>
          <cell r="H15">
            <v>0</v>
          </cell>
          <cell r="I15">
            <v>0</v>
          </cell>
          <cell r="R15">
            <v>0</v>
          </cell>
          <cell r="S15">
            <v>0</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amp;PLA"/>
      <sheetName val="computation"/>
      <sheetName val="Sheet2"/>
      <sheetName val="IT- DEP"/>
      <sheetName val="fixed assets"/>
      <sheetName val="BS 590"/>
      <sheetName val="IT-_DEP1"/>
      <sheetName val="fixed_assets1"/>
      <sheetName val="BS_5901"/>
      <sheetName val="IT-_DEP"/>
      <sheetName val="fixed_assets"/>
      <sheetName val="BS_590"/>
      <sheetName val="IT-_DEP2"/>
      <sheetName val="fixed_assets2"/>
      <sheetName val="BS_5902"/>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tart"/>
      <sheetName val="Sum"/>
      <sheetName val="Upgrade"/>
      <sheetName val="M_S"/>
      <sheetName val="M_M"/>
      <sheetName val="M_C"/>
      <sheetName val="M_O"/>
      <sheetName val="M_A"/>
      <sheetName val="M_F"/>
      <sheetName val="M_B"/>
      <sheetName val="M_T"/>
      <sheetName val="M_Charts"/>
      <sheetName val="M_IS"/>
      <sheetName val="M_CF"/>
      <sheetName val="M_BS"/>
      <sheetName val="M_PR"/>
      <sheetName val="M_SY"/>
      <sheetName val="Q_A1"/>
      <sheetName val="Q_A2"/>
      <sheetName val="Q_Charts"/>
      <sheetName val="67_A"/>
      <sheetName val="A_Charts"/>
      <sheetName val="Q_IS"/>
      <sheetName val="Q_CF"/>
      <sheetName val="Q_BS"/>
      <sheetName val="Q_PR"/>
      <sheetName val="Text"/>
      <sheetName val="Quik"/>
      <sheetName val="Sens"/>
      <sheetName val="What-If"/>
      <sheetName val="Profit"/>
      <sheetName val="Cash"/>
      <sheetName val="Track"/>
      <sheetName val="Trends"/>
      <sheetName val="Check"/>
      <sheetName val="Calc"/>
      <sheetName val="MAIN"/>
      <sheetName val="COMMERCIAL"/>
      <sheetName val="SHARE"/>
      <sheetName val="ASS"/>
      <sheetName val="PROT"/>
      <sheetName val="PRINT-ASS"/>
      <sheetName val="OUT"/>
      <sheetName val="PRINT-OUT"/>
      <sheetName val="CHARTS"/>
      <sheetName val="PRINT-CHARTS"/>
      <sheetName val="TOOLS-SETUP"/>
      <sheetName val="HELP"/>
      <sheetName val="ADDITIONS"/>
      <sheetName val="DESCRIPTION"/>
      <sheetName val="BASICINFO"/>
      <sheetName val="PRINT"/>
      <sheetName val="ABOUT"/>
      <sheetName val="VIEW"/>
      <sheetName val="CHAR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ow r="6">
          <cell r="H6" t="str">
            <v>Sales tax</v>
          </cell>
        </row>
      </sheetData>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ow r="173">
          <cell r="H173" t="str">
            <v>000</v>
          </cell>
        </row>
        <row r="174">
          <cell r="H174" t="str">
            <v xml:space="preserve"> - Product A</v>
          </cell>
        </row>
        <row r="175">
          <cell r="H175" t="str">
            <v xml:space="preserve"> - Product B</v>
          </cell>
        </row>
        <row r="176">
          <cell r="H176" t="str">
            <v xml:space="preserve"> - Product C</v>
          </cell>
        </row>
        <row r="177">
          <cell r="H177" t="str">
            <v xml:space="preserve"> - Product D</v>
          </cell>
        </row>
        <row r="178">
          <cell r="H178" t="str">
            <v xml:space="preserve"> - Service A</v>
          </cell>
        </row>
        <row r="179">
          <cell r="H179" t="str">
            <v xml:space="preserve"> - Service B</v>
          </cell>
        </row>
        <row r="180">
          <cell r="H180" t="str">
            <v xml:space="preserve"> - Service C</v>
          </cell>
        </row>
        <row r="181">
          <cell r="H181" t="str">
            <v xml:space="preserve"> - Service D</v>
          </cell>
        </row>
        <row r="182">
          <cell r="H182" t="str">
            <v xml:space="preserve"> - Exports</v>
          </cell>
        </row>
        <row r="183">
          <cell r="H183" t="str">
            <v xml:space="preserve"> - Spares</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ian Jvmar06"/>
      <sheetName val="BS"/>
      <sheetName val="cashflow"/>
      <sheetName val="PL"/>
      <sheetName val="Schedules"/>
      <sheetName val="FA schedule"/>
      <sheetName val="Sch22"/>
      <sheetName val="Inv"/>
      <sheetName val="BS sub sh"/>
      <sheetName val="Invest. thousand"/>
      <sheetName val="Investments"/>
      <sheetName val="pubres"/>
      <sheetName val="Sheet1"/>
      <sheetName val="Income"/>
      <sheetName val="Exp"/>
      <sheetName val="Leave encashement"/>
      <sheetName val="TB APJ"/>
      <sheetName val="Variance"/>
      <sheetName val="vari-1"/>
      <sheetName val="TB WORLI"/>
      <sheetName val="deftax"/>
      <sheetName val="Quar ABNL"/>
      <sheetName val="it depr."/>
      <sheetName val="FASCHEDULE"/>
      <sheetName val="G SecST&amp;LT "/>
      <sheetName val="itcomp"/>
      <sheetName val="ratio analysis"/>
      <sheetName val="Hyperian_Jvmar061"/>
      <sheetName val="FA_schedule1"/>
      <sheetName val="BS_sub_sh1"/>
      <sheetName val="Invest__thousand1"/>
      <sheetName val="Leave_encashement1"/>
      <sheetName val="TB_APJ1"/>
      <sheetName val="TB_WORLI1"/>
      <sheetName val="Quar_ABNL1"/>
      <sheetName val="it_depr_1"/>
      <sheetName val="G_SecST&amp;LT_1"/>
      <sheetName val="ratio_analysis1"/>
      <sheetName val="Hyperian_Jvmar06"/>
      <sheetName val="FA_schedule"/>
      <sheetName val="BS_sub_sh"/>
      <sheetName val="Invest__thousand"/>
      <sheetName val="Leave_encashement"/>
      <sheetName val="TB_APJ"/>
      <sheetName val="TB_WORLI"/>
      <sheetName val="Quar_ABNL"/>
      <sheetName val="it_depr_"/>
      <sheetName val="G_SecST&amp;LT_"/>
      <sheetName val="ratio_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7">
          <cell r="B67">
            <v>125873</v>
          </cell>
        </row>
        <row r="85">
          <cell r="B85">
            <v>53508</v>
          </cell>
        </row>
        <row r="97">
          <cell r="B97">
            <v>4803530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7">
          <cell r="B67">
            <v>125873</v>
          </cell>
        </row>
      </sheetData>
      <sheetData sheetId="33"/>
      <sheetData sheetId="34"/>
      <sheetData sheetId="35"/>
      <sheetData sheetId="36"/>
      <sheetData sheetId="37"/>
      <sheetData sheetId="38"/>
      <sheetData sheetId="39"/>
      <sheetData sheetId="40"/>
      <sheetData sheetId="41"/>
      <sheetData sheetId="42"/>
      <sheetData sheetId="43">
        <row r="67">
          <cell r="B67">
            <v>125873</v>
          </cell>
        </row>
      </sheetData>
      <sheetData sheetId="44"/>
      <sheetData sheetId="45"/>
      <sheetData sheetId="46"/>
      <sheetData sheetId="47"/>
      <sheetData sheetId="4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s"/>
      <sheetName val="tds"/>
      <sheetName val="43b"/>
      <sheetName val="depjc1&amp;2"/>
      <sheetName val="dep 99"/>
      <sheetName val="dep1&amp;2&amp;pla"/>
      <sheetName val="80IA"/>
      <sheetName val="80HHC"/>
      <sheetName val="80IA 2"/>
      <sheetName val="capgain"/>
      <sheetName val="ind"/>
      <sheetName val="dep_991"/>
      <sheetName val="80IA_21"/>
      <sheetName val="dep_99"/>
      <sheetName val="80IA_2"/>
      <sheetName val="dep_992"/>
      <sheetName val="80IA_22"/>
    </sheetNames>
    <sheetDataSet>
      <sheetData sheetId="0">
        <row r="28">
          <cell r="H28">
            <v>540967</v>
          </cell>
        </row>
      </sheetData>
      <sheetData sheetId="1">
        <row r="28">
          <cell r="H28">
            <v>540967</v>
          </cell>
        </row>
      </sheetData>
      <sheetData sheetId="2">
        <row r="28">
          <cell r="H28">
            <v>540967</v>
          </cell>
        </row>
      </sheetData>
      <sheetData sheetId="3" refreshError="1">
        <row r="28">
          <cell r="H28">
            <v>540967</v>
          </cell>
        </row>
        <row r="33">
          <cell r="H33">
            <v>2453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D FORM C "/>
      <sheetName val="FORM C ASD "/>
      <sheetName val="FORM C ASD"/>
      <sheetName val="MIS REPORT April 16 ~DEC 16"/>
    </sheetNames>
    <definedNames>
      <definedName name="End_Bal" refersTo="#REF!"/>
      <definedName name="Interest_Rate" refersTo="#REF!"/>
      <definedName name="Loan_Amount" refersTo="#REF!"/>
      <definedName name="Loan_Start" refersTo="#REF!"/>
      <definedName name="Loan_Years" refersTo="#REF!"/>
    </definedNames>
    <sheetDataSet>
      <sheetData sheetId="0"/>
      <sheetData sheetId="1"/>
      <sheetData sheetId="2"/>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D FORM C "/>
      <sheetName val="FORM C ASD "/>
      <sheetName val="FORM C ASD"/>
      <sheetName val="MIS REPORT April 16 ~DEC 16"/>
    </sheetNames>
    <definedNames>
      <definedName name="End_Bal" refersTo="#REF!"/>
      <definedName name="Interest_Rate" refersTo="#REF!"/>
      <definedName name="Loan_Amount" refersTo="#REF!"/>
      <definedName name="Loan_Start" refersTo="#REF!"/>
      <definedName name="Loan_Years" refersTo="#REF!"/>
    </definedNames>
    <sheetDataSet>
      <sheetData sheetId="0"/>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D FORM C "/>
      <sheetName val="FORM C ASD "/>
      <sheetName val="FORM C ASD"/>
      <sheetName val="MIS REPORT April 16 ~DEC 16"/>
    </sheetNames>
    <definedNames>
      <definedName name="End_Bal" refersTo="#REF!"/>
      <definedName name="Interest_Rate" refersTo="#REF!"/>
      <definedName name="Loan_Amount" refersTo="#REF!"/>
      <definedName name="Loan_Start" refersTo="#REF!"/>
      <definedName name="Loan_Years" refersTo="#REF!"/>
    </definedNames>
    <sheetDataSet>
      <sheetData sheetId="0"/>
      <sheetData sheetId="1"/>
      <sheetData sheetId="2"/>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rialbal"/>
      <sheetName val="expcfd"/>
      <sheetName val="defentry"/>
      <sheetName val="taxfree"/>
      <sheetName val="roi"/>
      <sheetName val="depre"/>
    </sheetNames>
    <sheetDataSet>
      <sheetData sheetId="0">
        <row r="145">
          <cell r="B145">
            <v>1204916880.8</v>
          </cell>
        </row>
      </sheetData>
      <sheetData sheetId="1">
        <row r="145">
          <cell r="B145">
            <v>1204916880.8</v>
          </cell>
        </row>
      </sheetData>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 analysis"/>
      <sheetName val="pubres"/>
      <sheetName val="BS"/>
      <sheetName val="PL"/>
      <sheetName val="Schedules"/>
      <sheetName val="Liab"/>
      <sheetName val="Assets"/>
      <sheetName val="Income"/>
      <sheetName val="Exp"/>
      <sheetName val="TB"/>
      <sheetName val="deftax"/>
      <sheetName val="wndeftax"/>
      <sheetName val="G SecST&amp;LT "/>
      <sheetName val="FA"/>
      <sheetName val="itcomp"/>
      <sheetName val="Recon"/>
      <sheetName val="BREAKUP"/>
      <sheetName val="ratio_analysis1"/>
      <sheetName val="G_SecST&amp;LT_1"/>
      <sheetName val="ratio_analysis"/>
      <sheetName val="G_SecST&amp;LT_"/>
    </sheetNames>
    <sheetDataSet>
      <sheetData sheetId="0"/>
      <sheetData sheetId="1"/>
      <sheetData sheetId="2"/>
      <sheetData sheetId="3"/>
      <sheetData sheetId="4"/>
      <sheetData sheetId="5"/>
      <sheetData sheetId="6"/>
      <sheetData sheetId="7"/>
      <sheetData sheetId="8"/>
      <sheetData sheetId="9">
        <row r="185">
          <cell r="B185">
            <v>2529</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Amortization Schedule"/>
      <sheetName val="Loan_Amortization_Schedule"/>
    </sheetNames>
    <sheetDataSet>
      <sheetData sheetId="0">
        <row r="5">
          <cell r="D5">
            <v>430000</v>
          </cell>
        </row>
        <row r="6">
          <cell r="D6">
            <v>0.13865</v>
          </cell>
        </row>
        <row r="7">
          <cell r="D7">
            <v>3</v>
          </cell>
        </row>
        <row r="9">
          <cell r="D9">
            <v>39203</v>
          </cell>
        </row>
        <row r="18">
          <cell r="I18">
            <v>420300.08945914567</v>
          </cell>
        </row>
        <row r="19">
          <cell r="I19">
            <v>410488.10453525058</v>
          </cell>
        </row>
        <row r="20">
          <cell r="I20">
            <v>400562.75030221394</v>
          </cell>
        </row>
        <row r="21">
          <cell r="I21">
            <v>390522.71687214309</v>
          </cell>
        </row>
        <row r="22">
          <cell r="I22">
            <v>380366.67922248231</v>
          </cell>
        </row>
        <row r="23">
          <cell r="I23">
            <v>370093.29702114442</v>
          </cell>
        </row>
        <row r="24">
          <cell r="I24">
            <v>359701.21444962191</v>
          </cell>
        </row>
        <row r="25">
          <cell r="I25">
            <v>349189.06002405426</v>
          </cell>
        </row>
        <row r="26">
          <cell r="I26">
            <v>338555.44641422789</v>
          </cell>
        </row>
        <row r="27">
          <cell r="I27">
            <v>327798.97026048461</v>
          </cell>
        </row>
        <row r="28">
          <cell r="I28">
            <v>316918.21198851499</v>
          </cell>
        </row>
        <row r="29">
          <cell r="I29">
            <v>305911.7356220113</v>
          </cell>
        </row>
        <row r="30">
          <cell r="I30">
            <v>294778.08859315631</v>
          </cell>
        </row>
        <row r="31">
          <cell r="I31">
            <v>283515.8015509221</v>
          </cell>
        </row>
        <row r="32">
          <cell r="I32">
            <v>272123.38816715404</v>
          </cell>
        </row>
        <row r="33">
          <cell r="I33">
            <v>260599.34494041439</v>
          </cell>
        </row>
        <row r="34">
          <cell r="I34">
            <v>248942.1509975591</v>
          </cell>
        </row>
        <row r="35">
          <cell r="I35">
            <v>237150.26789302242</v>
          </cell>
        </row>
        <row r="36">
          <cell r="I36">
            <v>225222.13940578207</v>
          </cell>
        </row>
        <row r="37">
          <cell r="I37">
            <v>213156.19133397873</v>
          </cell>
        </row>
        <row r="38">
          <cell r="I38">
            <v>200950.83128716244</v>
          </cell>
        </row>
        <row r="39">
          <cell r="I39">
            <v>188604.44847613855</v>
          </cell>
        </row>
        <row r="40">
          <cell r="I40">
            <v>176115.41350038562</v>
          </cell>
        </row>
        <row r="41">
          <cell r="I41">
            <v>163482.078133017</v>
          </cell>
        </row>
        <row r="42">
          <cell r="I42">
            <v>150702.77510325791</v>
          </cell>
        </row>
        <row r="43">
          <cell r="I43">
            <v>137775.81787640916</v>
          </cell>
        </row>
        <row r="44">
          <cell r="I44">
            <v>124699.50043126852</v>
          </cell>
        </row>
        <row r="45">
          <cell r="I45">
            <v>111472.09703498048</v>
          </cell>
        </row>
        <row r="46">
          <cell r="I46">
            <v>98091.862015284511</v>
          </cell>
        </row>
        <row r="47">
          <cell r="I47">
            <v>84557.029530131796</v>
          </cell>
        </row>
        <row r="48">
          <cell r="I48">
            <v>70865.813334640203</v>
          </cell>
        </row>
        <row r="49">
          <cell r="I49">
            <v>57016.406545356542</v>
          </cell>
        </row>
        <row r="50">
          <cell r="I50">
            <v>43006.981401795027</v>
          </cell>
        </row>
        <row r="51">
          <cell r="I51">
            <v>28835.689025220614</v>
          </cell>
        </row>
        <row r="52">
          <cell r="I52">
            <v>14500.6591746452</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0</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0</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sheetData>
      <sheetData sheetId="1">
        <row r="5">
          <cell r="D5">
            <v>430000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Amortization Schedule"/>
      <sheetName val="Loan_Amortization_Schedule"/>
    </sheetNames>
    <sheetDataSet>
      <sheetData sheetId="0">
        <row r="5">
          <cell r="D5">
            <v>430000</v>
          </cell>
        </row>
        <row r="6">
          <cell r="D6">
            <v>0.13865</v>
          </cell>
        </row>
        <row r="7">
          <cell r="D7">
            <v>3</v>
          </cell>
        </row>
        <row r="9">
          <cell r="D9">
            <v>39203</v>
          </cell>
        </row>
        <row r="18">
          <cell r="I18">
            <v>420300.08945914567</v>
          </cell>
        </row>
        <row r="19">
          <cell r="I19">
            <v>410488.10453525058</v>
          </cell>
        </row>
        <row r="20">
          <cell r="I20">
            <v>400562.75030221394</v>
          </cell>
        </row>
        <row r="21">
          <cell r="I21">
            <v>390522.71687214309</v>
          </cell>
        </row>
        <row r="22">
          <cell r="I22">
            <v>380366.67922248231</v>
          </cell>
        </row>
        <row r="23">
          <cell r="I23">
            <v>370093.29702114442</v>
          </cell>
        </row>
        <row r="24">
          <cell r="I24">
            <v>359701.21444962191</v>
          </cell>
        </row>
        <row r="25">
          <cell r="I25">
            <v>349189.06002405426</v>
          </cell>
        </row>
        <row r="26">
          <cell r="I26">
            <v>338555.44641422789</v>
          </cell>
        </row>
        <row r="27">
          <cell r="I27">
            <v>327798.97026048461</v>
          </cell>
        </row>
        <row r="28">
          <cell r="I28">
            <v>316918.21198851499</v>
          </cell>
        </row>
        <row r="29">
          <cell r="I29">
            <v>305911.7356220113</v>
          </cell>
        </row>
        <row r="30">
          <cell r="I30">
            <v>294778.08859315631</v>
          </cell>
        </row>
        <row r="31">
          <cell r="I31">
            <v>283515.8015509221</v>
          </cell>
        </row>
        <row r="32">
          <cell r="I32">
            <v>272123.38816715404</v>
          </cell>
        </row>
        <row r="33">
          <cell r="I33">
            <v>260599.34494041439</v>
          </cell>
        </row>
        <row r="34">
          <cell r="I34">
            <v>248942.1509975591</v>
          </cell>
        </row>
        <row r="35">
          <cell r="I35">
            <v>237150.26789302242</v>
          </cell>
        </row>
        <row r="36">
          <cell r="I36">
            <v>225222.13940578207</v>
          </cell>
        </row>
        <row r="37">
          <cell r="I37">
            <v>213156.19133397873</v>
          </cell>
        </row>
        <row r="38">
          <cell r="I38">
            <v>200950.83128716244</v>
          </cell>
        </row>
        <row r="39">
          <cell r="I39">
            <v>188604.44847613855</v>
          </cell>
        </row>
        <row r="40">
          <cell r="I40">
            <v>176115.41350038562</v>
          </cell>
        </row>
        <row r="41">
          <cell r="I41">
            <v>163482.078133017</v>
          </cell>
        </row>
        <row r="42">
          <cell r="I42">
            <v>150702.77510325791</v>
          </cell>
        </row>
        <row r="43">
          <cell r="I43">
            <v>137775.81787640916</v>
          </cell>
        </row>
        <row r="44">
          <cell r="I44">
            <v>124699.50043126852</v>
          </cell>
        </row>
        <row r="45">
          <cell r="I45">
            <v>111472.09703498048</v>
          </cell>
        </row>
        <row r="46">
          <cell r="I46">
            <v>98091.862015284511</v>
          </cell>
        </row>
        <row r="47">
          <cell r="I47">
            <v>84557.029530131796</v>
          </cell>
        </row>
        <row r="48">
          <cell r="I48">
            <v>70865.813334640203</v>
          </cell>
        </row>
        <row r="49">
          <cell r="I49">
            <v>57016.406545356542</v>
          </cell>
        </row>
        <row r="50">
          <cell r="I50">
            <v>43006.981401795027</v>
          </cell>
        </row>
        <row r="51">
          <cell r="I51">
            <v>28835.689025220614</v>
          </cell>
        </row>
        <row r="52">
          <cell r="I52">
            <v>14500.6591746452</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0</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0</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sheetData>
      <sheetData sheetId="1">
        <row r="5">
          <cell r="D5">
            <v>430000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it97"/>
      <sheetName val="DEPIT979"/>
    </sheetNames>
    <sheetDataSet>
      <sheetData sheetId="0"/>
      <sheetData sheetId="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Amortization Schedule"/>
    </sheetNames>
    <sheetDataSet>
      <sheetData sheetId="0">
        <row r="5">
          <cell r="D5">
            <v>430000</v>
          </cell>
        </row>
        <row r="6">
          <cell r="D6">
            <v>0.13865</v>
          </cell>
        </row>
        <row r="7">
          <cell r="D7">
            <v>3</v>
          </cell>
        </row>
        <row r="9">
          <cell r="D9">
            <v>39203</v>
          </cell>
        </row>
        <row r="18">
          <cell r="I18">
            <v>420300.08945914567</v>
          </cell>
        </row>
        <row r="19">
          <cell r="I19">
            <v>410488.10453525058</v>
          </cell>
        </row>
        <row r="20">
          <cell r="I20">
            <v>400562.75030221394</v>
          </cell>
        </row>
        <row r="21">
          <cell r="I21">
            <v>390522.71687214309</v>
          </cell>
        </row>
        <row r="22">
          <cell r="I22">
            <v>380366.67922248231</v>
          </cell>
        </row>
        <row r="23">
          <cell r="I23">
            <v>370093.29702114442</v>
          </cell>
        </row>
        <row r="24">
          <cell r="I24">
            <v>359701.21444962191</v>
          </cell>
        </row>
        <row r="25">
          <cell r="I25">
            <v>349189.06002405426</v>
          </cell>
        </row>
        <row r="26">
          <cell r="I26">
            <v>338555.44641422789</v>
          </cell>
        </row>
        <row r="27">
          <cell r="I27">
            <v>327798.97026048461</v>
          </cell>
        </row>
        <row r="28">
          <cell r="I28">
            <v>316918.21198851499</v>
          </cell>
        </row>
        <row r="29">
          <cell r="I29">
            <v>305911.7356220113</v>
          </cell>
        </row>
        <row r="30">
          <cell r="I30">
            <v>294778.08859315631</v>
          </cell>
        </row>
        <row r="31">
          <cell r="I31">
            <v>283515.8015509221</v>
          </cell>
        </row>
        <row r="32">
          <cell r="I32">
            <v>272123.38816715404</v>
          </cell>
        </row>
        <row r="33">
          <cell r="I33">
            <v>260599.34494041439</v>
          </cell>
        </row>
        <row r="34">
          <cell r="I34">
            <v>248942.1509975591</v>
          </cell>
        </row>
        <row r="35">
          <cell r="I35">
            <v>237150.26789302242</v>
          </cell>
        </row>
        <row r="36">
          <cell r="I36">
            <v>225222.13940578207</v>
          </cell>
        </row>
        <row r="37">
          <cell r="I37">
            <v>213156.19133397873</v>
          </cell>
        </row>
        <row r="38">
          <cell r="I38">
            <v>200950.83128716244</v>
          </cell>
        </row>
        <row r="39">
          <cell r="I39">
            <v>188604.44847613855</v>
          </cell>
        </row>
        <row r="40">
          <cell r="I40">
            <v>176115.41350038562</v>
          </cell>
        </row>
        <row r="41">
          <cell r="I41">
            <v>163482.078133017</v>
          </cell>
        </row>
        <row r="42">
          <cell r="I42">
            <v>150702.77510325791</v>
          </cell>
        </row>
        <row r="43">
          <cell r="I43">
            <v>137775.81787640916</v>
          </cell>
        </row>
        <row r="44">
          <cell r="I44">
            <v>124699.50043126852</v>
          </cell>
        </row>
        <row r="45">
          <cell r="I45">
            <v>111472.09703498048</v>
          </cell>
        </row>
        <row r="46">
          <cell r="I46">
            <v>98091.862015284511</v>
          </cell>
        </row>
        <row r="47">
          <cell r="I47">
            <v>84557.029530131796</v>
          </cell>
        </row>
        <row r="48">
          <cell r="I48">
            <v>70865.813334640203</v>
          </cell>
        </row>
        <row r="49">
          <cell r="I49">
            <v>57016.406545356542</v>
          </cell>
        </row>
        <row r="50">
          <cell r="I50">
            <v>43006.981401795027</v>
          </cell>
        </row>
        <row r="51">
          <cell r="I51">
            <v>28835.689025220614</v>
          </cell>
        </row>
        <row r="52">
          <cell r="I52">
            <v>14500.6591746452</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0</v>
          </cell>
        </row>
        <row r="75">
          <cell r="I75">
            <v>0</v>
          </cell>
        </row>
        <row r="76">
          <cell r="I76">
            <v>0</v>
          </cell>
        </row>
        <row r="77">
          <cell r="I77">
            <v>0</v>
          </cell>
        </row>
        <row r="78">
          <cell r="I78">
            <v>0</v>
          </cell>
        </row>
        <row r="79">
          <cell r="I79">
            <v>0</v>
          </cell>
        </row>
        <row r="80">
          <cell r="I80">
            <v>0</v>
          </cell>
        </row>
        <row r="81">
          <cell r="I81">
            <v>0</v>
          </cell>
        </row>
        <row r="82">
          <cell r="I82">
            <v>0</v>
          </cell>
        </row>
        <row r="83">
          <cell r="I83">
            <v>0</v>
          </cell>
        </row>
        <row r="84">
          <cell r="I84">
            <v>0</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0</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ange fluctuation"/>
      <sheetName val="Debtors Bal.con"/>
      <sheetName val="Sheet2"/>
      <sheetName val="Sheet3"/>
      <sheetName val="depreciation"/>
      <sheetName val="final  Bsheet &amp; P&amp; L "/>
      <sheetName val="Calc"/>
      <sheetName val="M_T"/>
      <sheetName val="exchange_fluctuation1"/>
      <sheetName val="Debtors_Bal_con1"/>
      <sheetName val="final__Bsheet_&amp;_P&amp;_L_1"/>
      <sheetName val="exchange_fluctuation"/>
      <sheetName val="Debtors_Bal_con"/>
      <sheetName val="final__Bsheet_&amp;_P&amp;_L_"/>
      <sheetName val="exchange_fluctuation2"/>
      <sheetName val="Debtors_Bal_con2"/>
      <sheetName val="final__Bsheet_&amp;_P&amp;_L_2"/>
    </sheetNames>
    <sheetDataSet>
      <sheetData sheetId="0">
        <row r="178">
          <cell r="U178" t="str">
            <v>AMOL PHARMACEUTICALS PRIVATE LIMITED</v>
          </cell>
        </row>
        <row r="180">
          <cell r="U180" t="str">
            <v>CALCULATION OF EXCHANGE FLUCTUATION AS ON 31.3.2001</v>
          </cell>
        </row>
        <row r="182">
          <cell r="U182" t="str">
            <v>Invoice</v>
          </cell>
          <cell r="V182" t="str">
            <v xml:space="preserve">Date of </v>
          </cell>
          <cell r="W182" t="str">
            <v xml:space="preserve">Amount in </v>
          </cell>
          <cell r="X182" t="str">
            <v>Rate</v>
          </cell>
          <cell r="Y182" t="str">
            <v xml:space="preserve">Amount </v>
          </cell>
          <cell r="Z182" t="str">
            <v xml:space="preserve">Amount </v>
          </cell>
          <cell r="AA182" t="str">
            <v xml:space="preserve">Exchange </v>
          </cell>
        </row>
        <row r="183">
          <cell r="V183" t="str">
            <v>Receipt</v>
          </cell>
          <cell r="W183" t="str">
            <v>$</v>
          </cell>
          <cell r="Y183" t="str">
            <v>Receivable</v>
          </cell>
          <cell r="Z183" t="str">
            <v>Accounted</v>
          </cell>
          <cell r="AA183" t="str">
            <v>Difference</v>
          </cell>
        </row>
        <row r="184">
          <cell r="U184" t="str">
            <v>AP/2001/USA/089</v>
          </cell>
          <cell r="V184" t="str">
            <v>12.04.2001</v>
          </cell>
          <cell r="W184">
            <v>35000</v>
          </cell>
          <cell r="X184">
            <v>46.77</v>
          </cell>
          <cell r="Y184">
            <v>1636950</v>
          </cell>
          <cell r="Z184">
            <v>1629250</v>
          </cell>
          <cell r="AA184">
            <v>7700</v>
          </cell>
        </row>
        <row r="185">
          <cell r="U185" t="str">
            <v>AP/2001/USA/90</v>
          </cell>
          <cell r="V185" t="str">
            <v>28.05.2001</v>
          </cell>
          <cell r="W185">
            <v>19223.75</v>
          </cell>
          <cell r="X185">
            <v>46.77</v>
          </cell>
          <cell r="Y185">
            <v>899094.78750000009</v>
          </cell>
          <cell r="Z185">
            <v>894865.5625</v>
          </cell>
          <cell r="AA185">
            <v>4229.2250000000931</v>
          </cell>
        </row>
        <row r="186">
          <cell r="U186" t="str">
            <v>AP/2001/HBL/07</v>
          </cell>
          <cell r="V186" t="str">
            <v>18.05.2001</v>
          </cell>
          <cell r="W186">
            <v>45000</v>
          </cell>
          <cell r="X186">
            <v>46.77</v>
          </cell>
          <cell r="Y186">
            <v>2104650</v>
          </cell>
          <cell r="Z186">
            <v>2094750</v>
          </cell>
          <cell r="AA186">
            <v>9900</v>
          </cell>
        </row>
        <row r="187">
          <cell r="U187" t="str">
            <v>AP/2000/TRA/09</v>
          </cell>
          <cell r="V187" t="str">
            <v>28.05.2001</v>
          </cell>
          <cell r="W187">
            <v>7600</v>
          </cell>
          <cell r="X187">
            <v>46.77</v>
          </cell>
          <cell r="Y187">
            <v>355452</v>
          </cell>
          <cell r="Z187">
            <v>353780</v>
          </cell>
          <cell r="AA187">
            <v>1672</v>
          </cell>
        </row>
        <row r="188">
          <cell r="U188" t="str">
            <v>AP/2001/USA/91</v>
          </cell>
          <cell r="V188" t="str">
            <v>09.05.2001</v>
          </cell>
          <cell r="W188">
            <v>1.3</v>
          </cell>
          <cell r="X188">
            <v>46.77</v>
          </cell>
          <cell r="Y188">
            <v>60.801000000000009</v>
          </cell>
          <cell r="Z188">
            <v>60.515000000000001</v>
          </cell>
          <cell r="AA188">
            <v>0.28600000000000847</v>
          </cell>
        </row>
        <row r="189">
          <cell r="U189" t="str">
            <v>AP/2001/USA/91</v>
          </cell>
          <cell r="V189" t="str">
            <v>18.05.2001</v>
          </cell>
          <cell r="W189">
            <v>398.7</v>
          </cell>
          <cell r="X189">
            <v>46.77</v>
          </cell>
          <cell r="Y189">
            <v>18647.199000000001</v>
          </cell>
          <cell r="Z189">
            <v>18559.484999999997</v>
          </cell>
          <cell r="AA189">
            <v>87.71400000000358</v>
          </cell>
        </row>
        <row r="190">
          <cell r="U190" t="str">
            <v>AP/2001/HBL/08</v>
          </cell>
          <cell r="V190" t="str">
            <v>19.04.2001</v>
          </cell>
          <cell r="W190">
            <v>19325</v>
          </cell>
          <cell r="X190">
            <v>46.77</v>
          </cell>
          <cell r="Y190">
            <v>903830.25000000012</v>
          </cell>
          <cell r="Z190">
            <v>899578.75</v>
          </cell>
          <cell r="AA190">
            <v>4251.5000000001164</v>
          </cell>
        </row>
        <row r="191">
          <cell r="U191" t="str">
            <v>AP/2000/TRA/10</v>
          </cell>
          <cell r="V191" t="str">
            <v>19.04.2001</v>
          </cell>
          <cell r="W191">
            <v>14700</v>
          </cell>
          <cell r="X191">
            <v>46.77</v>
          </cell>
          <cell r="Y191">
            <v>687519</v>
          </cell>
          <cell r="Z191">
            <v>684285</v>
          </cell>
          <cell r="AA191">
            <v>3234</v>
          </cell>
        </row>
        <row r="192">
          <cell r="U192" t="str">
            <v>AP/2001/USA/92</v>
          </cell>
          <cell r="V192" t="str">
            <v>09.05.2001</v>
          </cell>
          <cell r="W192">
            <v>45398.7</v>
          </cell>
          <cell r="X192">
            <v>46.77</v>
          </cell>
          <cell r="Y192">
            <v>2123297.199</v>
          </cell>
          <cell r="Z192">
            <v>2097419.94</v>
          </cell>
          <cell r="AA192">
            <v>25877.259000000078</v>
          </cell>
        </row>
        <row r="193">
          <cell r="U193" t="str">
            <v>AP/2001/USA/93</v>
          </cell>
          <cell r="V193" t="str">
            <v>06.06.2001</v>
          </cell>
          <cell r="W193">
            <v>30000</v>
          </cell>
          <cell r="X193">
            <v>46.77</v>
          </cell>
          <cell r="Y193">
            <v>1403100</v>
          </cell>
          <cell r="Z193">
            <v>1386000</v>
          </cell>
          <cell r="AA193">
            <v>17100</v>
          </cell>
        </row>
        <row r="194">
          <cell r="U194" t="str">
            <v>AP/2001/USA/93</v>
          </cell>
          <cell r="V194" t="str">
            <v>08.06.2001</v>
          </cell>
          <cell r="W194">
            <v>6303.3</v>
          </cell>
          <cell r="X194">
            <v>46.77</v>
          </cell>
          <cell r="Y194">
            <v>294805.34100000001</v>
          </cell>
          <cell r="Z194">
            <v>291212.46000000002</v>
          </cell>
          <cell r="AA194">
            <v>3592.8809999999939</v>
          </cell>
        </row>
        <row r="195">
          <cell r="U195" t="str">
            <v>AP/2001/USA/94</v>
          </cell>
          <cell r="V195" t="str">
            <v>08.06.2001</v>
          </cell>
          <cell r="W195">
            <v>12856.5</v>
          </cell>
          <cell r="X195">
            <v>46.77</v>
          </cell>
          <cell r="Y195">
            <v>601298.505</v>
          </cell>
          <cell r="Z195">
            <v>593970.30000000005</v>
          </cell>
          <cell r="AA195">
            <v>7328.2049999999581</v>
          </cell>
        </row>
        <row r="196">
          <cell r="U196" t="str">
            <v>AP/2001/HBL/09</v>
          </cell>
          <cell r="V196" t="str">
            <v>08.06.2001</v>
          </cell>
          <cell r="W196">
            <v>6948.75</v>
          </cell>
          <cell r="X196">
            <v>46.77</v>
          </cell>
          <cell r="Y196">
            <v>324993.03750000003</v>
          </cell>
          <cell r="Z196">
            <v>321032.25</v>
          </cell>
          <cell r="AA196">
            <v>3960.7875000000349</v>
          </cell>
        </row>
        <row r="197">
          <cell r="U197" t="str">
            <v>AP/2001/HBL/10</v>
          </cell>
          <cell r="V197" t="str">
            <v>08.06.2001</v>
          </cell>
          <cell r="W197">
            <v>10337</v>
          </cell>
          <cell r="X197">
            <v>46.77</v>
          </cell>
          <cell r="Y197">
            <v>483461.49000000005</v>
          </cell>
          <cell r="Z197">
            <v>480670.5</v>
          </cell>
          <cell r="AA197">
            <v>2790.9900000000489</v>
          </cell>
        </row>
        <row r="198">
          <cell r="U198" t="str">
            <v>AP/2000/TRA/11</v>
          </cell>
          <cell r="V198" t="str">
            <v>08.06.2001</v>
          </cell>
          <cell r="W198">
            <v>7600</v>
          </cell>
          <cell r="X198">
            <v>46.77</v>
          </cell>
          <cell r="Y198">
            <v>355452</v>
          </cell>
          <cell r="Z198">
            <v>353400</v>
          </cell>
          <cell r="AA198">
            <v>2052</v>
          </cell>
        </row>
        <row r="199">
          <cell r="U199" t="str">
            <v>AP/2001/USA/95</v>
          </cell>
          <cell r="V199" t="str">
            <v>21.06.2001</v>
          </cell>
          <cell r="W199">
            <v>12099.9</v>
          </cell>
          <cell r="X199">
            <v>46.77</v>
          </cell>
          <cell r="Y199">
            <v>565912.32299999997</v>
          </cell>
          <cell r="Z199">
            <v>562645.35</v>
          </cell>
          <cell r="AA199">
            <v>3266.9729999999981</v>
          </cell>
        </row>
        <row r="200">
          <cell r="U200" t="str">
            <v>AP/2001/USA/96</v>
          </cell>
          <cell r="V200" t="str">
            <v>21.06.2001</v>
          </cell>
          <cell r="W200">
            <v>7987.6</v>
          </cell>
          <cell r="X200">
            <v>46.77</v>
          </cell>
          <cell r="Y200">
            <v>373580.05200000003</v>
          </cell>
          <cell r="Z200">
            <v>371423.4</v>
          </cell>
          <cell r="AA200">
            <v>2156.6520000000019</v>
          </cell>
        </row>
        <row r="201">
          <cell r="U201" t="str">
            <v>AP/2001/HBL/11</v>
          </cell>
          <cell r="V201" t="str">
            <v>4.7.2001</v>
          </cell>
          <cell r="W201">
            <v>25000</v>
          </cell>
          <cell r="X201">
            <v>46.77</v>
          </cell>
          <cell r="Y201">
            <v>1169250</v>
          </cell>
          <cell r="Z201">
            <v>1162500</v>
          </cell>
          <cell r="AA201">
            <v>6750</v>
          </cell>
        </row>
        <row r="202">
          <cell r="U202" t="str">
            <v>AP/2001/HBL/11</v>
          </cell>
          <cell r="V202" t="str">
            <v>Prov</v>
          </cell>
          <cell r="W202">
            <v>19960</v>
          </cell>
          <cell r="X202">
            <v>46.77</v>
          </cell>
          <cell r="Y202">
            <v>933529.20000000007</v>
          </cell>
          <cell r="Z202">
            <v>928140</v>
          </cell>
          <cell r="AA202">
            <v>5389.2000000000698</v>
          </cell>
        </row>
        <row r="203">
          <cell r="U203" t="str">
            <v>AP/2000/TRA/12</v>
          </cell>
          <cell r="V203" t="str">
            <v>21.06.2001</v>
          </cell>
          <cell r="W203">
            <v>2623.25</v>
          </cell>
          <cell r="X203">
            <v>46.77</v>
          </cell>
          <cell r="Y203">
            <v>122689.40250000001</v>
          </cell>
          <cell r="Z203">
            <v>121981.125</v>
          </cell>
          <cell r="AA203">
            <v>708.27750000001106</v>
          </cell>
        </row>
        <row r="204">
          <cell r="U204" t="str">
            <v>AP/2001/USA/97</v>
          </cell>
          <cell r="V204" t="str">
            <v>Prov</v>
          </cell>
          <cell r="W204">
            <v>6822</v>
          </cell>
          <cell r="X204">
            <v>46.77</v>
          </cell>
          <cell r="Y204">
            <v>319064.94</v>
          </cell>
          <cell r="Z204">
            <v>317223</v>
          </cell>
          <cell r="AA204">
            <v>1841.9400000000023</v>
          </cell>
        </row>
        <row r="205">
          <cell r="U205" t="str">
            <v>AP/2000/TRA/13</v>
          </cell>
          <cell r="V205" t="str">
            <v>Prov</v>
          </cell>
          <cell r="W205">
            <v>15000</v>
          </cell>
          <cell r="X205">
            <v>46.77</v>
          </cell>
          <cell r="Y205">
            <v>701550</v>
          </cell>
          <cell r="Z205">
            <v>697500</v>
          </cell>
          <cell r="AA205">
            <v>4050</v>
          </cell>
        </row>
        <row r="206">
          <cell r="U206" t="str">
            <v>AP/2001/USA/98</v>
          </cell>
          <cell r="V206" t="str">
            <v>Prov</v>
          </cell>
          <cell r="W206">
            <v>37235</v>
          </cell>
          <cell r="X206">
            <v>46.77</v>
          </cell>
          <cell r="Y206">
            <v>1741480.9500000002</v>
          </cell>
          <cell r="Z206">
            <v>1731432.15</v>
          </cell>
          <cell r="AA206">
            <v>10048.800000000279</v>
          </cell>
        </row>
        <row r="207">
          <cell r="U207" t="str">
            <v>AP/2001/HBL/12</v>
          </cell>
          <cell r="V207" t="str">
            <v>Prov</v>
          </cell>
          <cell r="W207">
            <v>23100</v>
          </cell>
          <cell r="X207">
            <v>46.77</v>
          </cell>
          <cell r="Y207">
            <v>1080387</v>
          </cell>
          <cell r="Z207">
            <v>1074150</v>
          </cell>
          <cell r="AA207">
            <v>6237</v>
          </cell>
        </row>
        <row r="208">
          <cell r="U208" t="str">
            <v>AP/2000/TRA/11(M)</v>
          </cell>
          <cell r="V208" t="str">
            <v>Prov</v>
          </cell>
          <cell r="W208">
            <v>17453.900000000001</v>
          </cell>
          <cell r="X208">
            <v>46.77</v>
          </cell>
          <cell r="Y208">
            <v>816318.90300000017</v>
          </cell>
          <cell r="Z208">
            <v>811606.35</v>
          </cell>
          <cell r="AA208">
            <v>4712.5530000001891</v>
          </cell>
        </row>
        <row r="209">
          <cell r="U209" t="str">
            <v>AP/2000/TRA/12(M)</v>
          </cell>
          <cell r="V209" t="str">
            <v>Prov</v>
          </cell>
          <cell r="W209">
            <v>15000</v>
          </cell>
          <cell r="X209">
            <v>46.77</v>
          </cell>
          <cell r="Y209">
            <v>701550</v>
          </cell>
          <cell r="Z209">
            <v>697500</v>
          </cell>
          <cell r="AA209">
            <v>4050</v>
          </cell>
        </row>
        <row r="210">
          <cell r="V210">
            <v>0</v>
          </cell>
          <cell r="W210">
            <v>442974.65</v>
          </cell>
          <cell r="X210">
            <v>1216.0199999999998</v>
          </cell>
          <cell r="Y210">
            <v>20717924.3805</v>
          </cell>
          <cell r="Z210">
            <v>20574936.137500003</v>
          </cell>
          <cell r="AA210">
            <v>142988.24300000089</v>
          </cell>
        </row>
      </sheetData>
      <sheetData sheetId="1"/>
      <sheetData sheetId="2"/>
      <sheetData sheetId="3"/>
      <sheetData sheetId="4" refreshError="1"/>
      <sheetData sheetId="5" refreshError="1"/>
      <sheetData sheetId="6" refreshError="1"/>
      <sheetData sheetId="7" refreshError="1"/>
      <sheetData sheetId="8">
        <row r="178">
          <cell r="U178" t="str">
            <v>AMOL PHARMACEUTICALS PRIVATE LIMITED</v>
          </cell>
        </row>
      </sheetData>
      <sheetData sheetId="9"/>
      <sheetData sheetId="10"/>
      <sheetData sheetId="11">
        <row r="178">
          <cell r="U178" t="str">
            <v>AMOL PHARMACEUTICALS PRIVATE LIMITED</v>
          </cell>
        </row>
      </sheetData>
      <sheetData sheetId="12"/>
      <sheetData sheetId="13"/>
      <sheetData sheetId="14">
        <row r="178">
          <cell r="U178" t="str">
            <v>AMOL PHARMACEUTICALS PRIVATE LIMITED</v>
          </cell>
        </row>
      </sheetData>
      <sheetData sheetId="15"/>
      <sheetData sheetId="1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MATERIAL"/>
      <sheetName val="JOB WORK"/>
      <sheetName val="rough"/>
      <sheetName val="exchange fluctuation"/>
      <sheetName val="RAW_MATERIAL1"/>
      <sheetName val="JOB_WORK1"/>
      <sheetName val="exchange_fluctuation1"/>
      <sheetName val="RAW_MATERIAL"/>
      <sheetName val="JOB_WORK"/>
      <sheetName val="exchange_fluctuation"/>
      <sheetName val="RAW_MATERIAL2"/>
      <sheetName val="JOB_WORK2"/>
      <sheetName val="exchange_fluctuation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u-gau"/>
      <sheetName val="INT WORKING"/>
      <sheetName val="80 HHC-gau"/>
      <sheetName val="80IB+80 HHC"/>
      <sheetName val="ins, freight,excise"/>
      <sheetName val="BS &amp; Pr &amp; Loss"/>
      <sheetName val="ratios"/>
      <sheetName val="depreication"/>
      <sheetName val="Stock Reco."/>
      <sheetName val="RETROSPECTIVE DEPN"/>
      <sheetName val="gau"/>
      <sheetName val="JOB WORK"/>
      <sheetName val="rough"/>
      <sheetName val="INT_WORKING1"/>
      <sheetName val="80_HHC-gau1"/>
      <sheetName val="80IB+80_HHC1"/>
      <sheetName val="ins,_freight,excise1"/>
      <sheetName val="BS_&amp;_Pr_&amp;_Loss1"/>
      <sheetName val="Stock_Reco_1"/>
      <sheetName val="RETROSPECTIVE_DEPN1"/>
      <sheetName val="JOB_WORK1"/>
      <sheetName val="INT_WORKING"/>
      <sheetName val="80_HHC-gau"/>
      <sheetName val="80IB+80_HHC"/>
      <sheetName val="ins,_freight,excise"/>
      <sheetName val="BS_&amp;_Pr_&amp;_Loss"/>
      <sheetName val="Stock_Reco_"/>
      <sheetName val="RETROSPECTIVE_DEPN"/>
      <sheetName val="JOB_WORK"/>
      <sheetName val="INT_WORKING2"/>
      <sheetName val="80_HHC-gau2"/>
      <sheetName val="80IB+80_HHC2"/>
      <sheetName val="ins,_freight,excise2"/>
      <sheetName val="BS_&amp;_Pr_&amp;_Loss2"/>
      <sheetName val="Stock_Reco_2"/>
      <sheetName val="RETROSPECTIVE_DEPN2"/>
      <sheetName val="JOB_WORK2"/>
    </sheetNames>
    <sheetDataSet>
      <sheetData sheetId="0"/>
      <sheetData sheetId="1"/>
      <sheetData sheetId="2"/>
      <sheetData sheetId="3"/>
      <sheetData sheetId="4">
        <row r="434">
          <cell r="B434" t="str">
            <v>AMOL PHARMACEUTICALS P. LTD.</v>
          </cell>
        </row>
      </sheetData>
      <sheetData sheetId="5">
        <row r="434">
          <cell r="B434" t="str">
            <v>AMOL PHARMACEUTICALS P. LTD.</v>
          </cell>
        </row>
        <row r="436">
          <cell r="B436" t="str">
            <v>GROUPING TO THE BALANCE SHEET AND PROFIT &amp; LOSS ACCOUNT</v>
          </cell>
        </row>
        <row r="437">
          <cell r="B437" t="str">
            <v>FOR THE YEAR ENDED 2001</v>
          </cell>
        </row>
        <row r="439">
          <cell r="B439" t="str">
            <v>PARTICULARS</v>
          </cell>
          <cell r="C439">
            <v>0</v>
          </cell>
          <cell r="D439" t="str">
            <v>31.03.01</v>
          </cell>
        </row>
        <row r="441">
          <cell r="B441" t="str">
            <v>INTEREST ACCRUED</v>
          </cell>
        </row>
        <row r="442">
          <cell r="B442" t="str">
            <v>On National Saving Certificates</v>
          </cell>
          <cell r="D442">
            <v>2724</v>
          </cell>
        </row>
        <row r="443">
          <cell r="B443" t="str">
            <v>On Fixed Deposit with Bank</v>
          </cell>
          <cell r="D443">
            <v>25368</v>
          </cell>
        </row>
        <row r="444">
          <cell r="B444" t="str">
            <v>On F.D. with Llyod Finance</v>
          </cell>
          <cell r="D444" t="str">
            <v>-</v>
          </cell>
        </row>
        <row r="445">
          <cell r="D445">
            <v>28092</v>
          </cell>
        </row>
        <row r="448">
          <cell r="B448" t="str">
            <v>PREPAID EXPENSES</v>
          </cell>
        </row>
        <row r="449">
          <cell r="B449" t="str">
            <v>Insurance</v>
          </cell>
          <cell r="D449">
            <v>21866</v>
          </cell>
        </row>
        <row r="450">
          <cell r="B450" t="str">
            <v>Annual Maintainence Contract</v>
          </cell>
          <cell r="D450">
            <v>575</v>
          </cell>
        </row>
        <row r="452">
          <cell r="D452">
            <v>22441</v>
          </cell>
        </row>
        <row r="454">
          <cell r="B454" t="str">
            <v>CREDITORS FOR GOODS</v>
          </cell>
        </row>
        <row r="455">
          <cell r="B455" t="str">
            <v>Aahan Engineerrs P. Ltd.</v>
          </cell>
          <cell r="D455">
            <v>375000</v>
          </cell>
        </row>
        <row r="456">
          <cell r="B456" t="str">
            <v>Bansal  Metalic Oxides</v>
          </cell>
        </row>
        <row r="457">
          <cell r="B457" t="str">
            <v>Bectochem Engineers</v>
          </cell>
          <cell r="D457">
            <v>462392</v>
          </cell>
        </row>
        <row r="458">
          <cell r="B458" t="str">
            <v>Delite Medical Agencies</v>
          </cell>
        </row>
        <row r="459">
          <cell r="B459" t="str">
            <v>Harshad Agencies.</v>
          </cell>
        </row>
        <row r="460">
          <cell r="B460" t="str">
            <v>Kanara Industrial Corp.</v>
          </cell>
          <cell r="D460">
            <v>86527</v>
          </cell>
        </row>
        <row r="461">
          <cell r="B461" t="str">
            <v>Mool Chand &amp; Sons</v>
          </cell>
          <cell r="D461">
            <v>10439</v>
          </cell>
        </row>
        <row r="462">
          <cell r="B462" t="str">
            <v>Nupur Herbal P. Ltd.</v>
          </cell>
          <cell r="D462">
            <v>171080</v>
          </cell>
        </row>
        <row r="463">
          <cell r="B463" t="str">
            <v>Nandu Chemicals P.Ltd.</v>
          </cell>
        </row>
        <row r="464">
          <cell r="B464" t="str">
            <v>Northern Herbals P. Ltd.</v>
          </cell>
        </row>
        <row r="465">
          <cell r="B465" t="str">
            <v>Pankaj Industries</v>
          </cell>
          <cell r="D465">
            <v>251014.39999999999</v>
          </cell>
        </row>
        <row r="466">
          <cell r="B466" t="str">
            <v>Radhika Containers P.Ltd.</v>
          </cell>
          <cell r="D466">
            <v>92334</v>
          </cell>
        </row>
        <row r="467">
          <cell r="B467" t="str">
            <v>Raj Scientific Agencies</v>
          </cell>
        </row>
        <row r="468">
          <cell r="B468" t="str">
            <v>S.J. Chemicals Industries</v>
          </cell>
          <cell r="D468">
            <v>142256</v>
          </cell>
        </row>
        <row r="469">
          <cell r="B469" t="str">
            <v>Savita Scientific &amp; Plastic Product</v>
          </cell>
          <cell r="D469">
            <v>16842</v>
          </cell>
        </row>
        <row r="470">
          <cell r="B470" t="str">
            <v>Science House</v>
          </cell>
        </row>
        <row r="471">
          <cell r="B471" t="str">
            <v>Scientific Sales Syndicate</v>
          </cell>
        </row>
        <row r="472">
          <cell r="B472" t="str">
            <v>Shashi Phytochemical Industries</v>
          </cell>
          <cell r="D472">
            <v>550000</v>
          </cell>
        </row>
        <row r="473">
          <cell r="B473" t="str">
            <v>Spark Chem</v>
          </cell>
        </row>
        <row r="474">
          <cell r="B474" t="str">
            <v>The Gwalior Forest Product</v>
          </cell>
          <cell r="D474">
            <v>802723</v>
          </cell>
        </row>
        <row r="475">
          <cell r="B475" t="str">
            <v>The Scientific &amp; General Agencies</v>
          </cell>
        </row>
        <row r="476">
          <cell r="B476" t="str">
            <v>Themis Laboratories</v>
          </cell>
        </row>
        <row r="477">
          <cell r="B477" t="str">
            <v>Welworth Sales &amp; Services P.Ltd.</v>
          </cell>
          <cell r="D477">
            <v>608000</v>
          </cell>
        </row>
        <row r="479">
          <cell r="D479">
            <v>3568607.4</v>
          </cell>
        </row>
        <row r="481">
          <cell r="B481" t="str">
            <v>CREDITORS FOR EXPENSES</v>
          </cell>
        </row>
        <row r="482">
          <cell r="B482" t="str">
            <v>Abhinandan Associates</v>
          </cell>
        </row>
        <row r="483">
          <cell r="B483" t="str">
            <v>Adron Interior</v>
          </cell>
        </row>
        <row r="484">
          <cell r="B484" t="str">
            <v>Ajmera &amp; Associates</v>
          </cell>
        </row>
        <row r="485">
          <cell r="B485" t="str">
            <v>Abhinandan Associates</v>
          </cell>
        </row>
        <row r="486">
          <cell r="B486" t="str">
            <v>Ajmera &amp; Associates</v>
          </cell>
        </row>
        <row r="487">
          <cell r="B487" t="str">
            <v>Avantika Cooling Services</v>
          </cell>
          <cell r="D487">
            <v>16500</v>
          </cell>
        </row>
        <row r="488">
          <cell r="B488" t="str">
            <v>General Scientific Co.</v>
          </cell>
          <cell r="D488">
            <v>14915</v>
          </cell>
        </row>
        <row r="489">
          <cell r="B489" t="str">
            <v>Oasis Test House</v>
          </cell>
          <cell r="D489">
            <v>600</v>
          </cell>
        </row>
        <row r="490">
          <cell r="B490" t="str">
            <v>Prime Pharmaceuticals</v>
          </cell>
          <cell r="D490">
            <v>14270.85</v>
          </cell>
        </row>
        <row r="491">
          <cell r="B491" t="str">
            <v>American Express Card</v>
          </cell>
          <cell r="D491">
            <v>17458.54</v>
          </cell>
        </row>
        <row r="492">
          <cell r="B492" t="str">
            <v>Amirchand Arjundas</v>
          </cell>
        </row>
        <row r="493">
          <cell r="B493" t="str">
            <v>Audit fees Payable</v>
          </cell>
        </row>
        <row r="494">
          <cell r="B494" t="str">
            <v>Chitter Painter</v>
          </cell>
        </row>
        <row r="495">
          <cell r="B495" t="str">
            <v>Computer Growth</v>
          </cell>
          <cell r="D495">
            <v>1912</v>
          </cell>
        </row>
        <row r="496">
          <cell r="B496" t="str">
            <v>ECGC Payable</v>
          </cell>
        </row>
        <row r="497">
          <cell r="B497" t="str">
            <v>Expeditiors Internatioonal India P. Ltd.</v>
          </cell>
          <cell r="D497">
            <v>320629</v>
          </cell>
        </row>
        <row r="498">
          <cell r="B498" t="str">
            <v>Electric Charges Payable</v>
          </cell>
        </row>
        <row r="499">
          <cell r="B499" t="str">
            <v>Frieght Payable</v>
          </cell>
        </row>
        <row r="500">
          <cell r="B500" t="str">
            <v>Geeta Enterprises</v>
          </cell>
        </row>
        <row r="501">
          <cell r="B501" t="str">
            <v>Jaipur Golden Transport Co.</v>
          </cell>
        </row>
        <row r="502">
          <cell r="B502" t="str">
            <v>Jaipur Publicity Center</v>
          </cell>
        </row>
        <row r="503">
          <cell r="B503" t="str">
            <v>M.Sharma &amp; Associates</v>
          </cell>
        </row>
        <row r="504">
          <cell r="B504" t="str">
            <v>Misc. Expenses Payable</v>
          </cell>
        </row>
        <row r="505">
          <cell r="B505" t="str">
            <v>Nupur Harbals</v>
          </cell>
        </row>
        <row r="506">
          <cell r="B506" t="str">
            <v>Oasis Cellular</v>
          </cell>
        </row>
        <row r="507">
          <cell r="B507" t="str">
            <v>Oasis Test house</v>
          </cell>
        </row>
        <row r="508">
          <cell r="B508" t="str">
            <v>Pest Control Co.</v>
          </cell>
        </row>
        <row r="509">
          <cell r="B509" t="str">
            <v>Pinkcity Marbles</v>
          </cell>
        </row>
        <row r="510">
          <cell r="B510" t="str">
            <v>Postage &amp; Telegraph payable</v>
          </cell>
        </row>
        <row r="511">
          <cell r="B511" t="str">
            <v>Salary &amp; Wages Payable</v>
          </cell>
        </row>
        <row r="512">
          <cell r="B512" t="str">
            <v>Sea Star Services</v>
          </cell>
        </row>
        <row r="513">
          <cell r="B513" t="str">
            <v xml:space="preserve">Sita World Travels </v>
          </cell>
        </row>
        <row r="514">
          <cell r="B514" t="str">
            <v>Superwave Computer</v>
          </cell>
        </row>
        <row r="515">
          <cell r="B515" t="str">
            <v>Telephone Charges Payable</v>
          </cell>
        </row>
        <row r="516">
          <cell r="B516" t="str">
            <v>Utkarsh System Ltd.</v>
          </cell>
        </row>
        <row r="517">
          <cell r="B517" t="str">
            <v>Vinod General Store</v>
          </cell>
        </row>
        <row r="518">
          <cell r="B518" t="str">
            <v>Outstanding Expenses</v>
          </cell>
          <cell r="D518">
            <v>735535.79</v>
          </cell>
        </row>
        <row r="520">
          <cell r="D520">
            <v>1121821.1800000002</v>
          </cell>
        </row>
        <row r="522">
          <cell r="B522" t="str">
            <v>OUTSTANDING EXPENSES</v>
          </cell>
        </row>
        <row r="523">
          <cell r="B523" t="str">
            <v>Electricity</v>
          </cell>
          <cell r="D523">
            <v>97785</v>
          </cell>
        </row>
        <row r="524">
          <cell r="B524" t="str">
            <v>Salary</v>
          </cell>
          <cell r="D524">
            <v>182087</v>
          </cell>
        </row>
        <row r="525">
          <cell r="B525" t="str">
            <v>Wages</v>
          </cell>
          <cell r="D525">
            <v>59375</v>
          </cell>
        </row>
        <row r="526">
          <cell r="B526" t="str">
            <v>Garden Maintainence</v>
          </cell>
          <cell r="D526">
            <v>800</v>
          </cell>
        </row>
        <row r="527">
          <cell r="B527" t="str">
            <v>Professional; &amp; Consulatancy</v>
          </cell>
          <cell r="D527">
            <v>500</v>
          </cell>
        </row>
        <row r="528">
          <cell r="B528" t="str">
            <v>SalaryDeduction</v>
          </cell>
          <cell r="D528">
            <v>25868</v>
          </cell>
        </row>
        <row r="529">
          <cell r="B529" t="str">
            <v>Salary Deduction</v>
          </cell>
          <cell r="D529">
            <v>19637</v>
          </cell>
        </row>
        <row r="530">
          <cell r="B530" t="str">
            <v>Travelling</v>
          </cell>
          <cell r="D530">
            <v>1960</v>
          </cell>
        </row>
        <row r="531">
          <cell r="B531" t="str">
            <v>Power</v>
          </cell>
          <cell r="D531">
            <v>414</v>
          </cell>
        </row>
        <row r="532">
          <cell r="B532" t="str">
            <v>Telephone</v>
          </cell>
          <cell r="D532">
            <v>10000</v>
          </cell>
        </row>
        <row r="533">
          <cell r="B533" t="str">
            <v>Audit Fees</v>
          </cell>
          <cell r="D533">
            <v>52500</v>
          </cell>
        </row>
        <row r="534">
          <cell r="B534" t="str">
            <v>Ecgc Charges</v>
          </cell>
          <cell r="D534">
            <v>2906</v>
          </cell>
        </row>
        <row r="535">
          <cell r="B535" t="str">
            <v>Commission on Purchase</v>
          </cell>
          <cell r="D535">
            <v>159564</v>
          </cell>
        </row>
        <row r="536">
          <cell r="B536" t="str">
            <v>Service Charges</v>
          </cell>
          <cell r="D536">
            <v>12706</v>
          </cell>
        </row>
        <row r="537">
          <cell r="B537" t="str">
            <v>Staff Bonus</v>
          </cell>
          <cell r="D537">
            <v>109433.79</v>
          </cell>
        </row>
        <row r="539">
          <cell r="D539">
            <v>735535.79</v>
          </cell>
        </row>
        <row r="541">
          <cell r="B541" t="str">
            <v>T.D.S. PAYABLE</v>
          </cell>
        </row>
        <row r="542">
          <cell r="B542" t="str">
            <v>On Salary</v>
          </cell>
          <cell r="D542">
            <v>26264</v>
          </cell>
        </row>
        <row r="543">
          <cell r="B543" t="str">
            <v>On Professionals</v>
          </cell>
          <cell r="D543">
            <v>1250</v>
          </cell>
        </row>
        <row r="545">
          <cell r="D545">
            <v>27514</v>
          </cell>
        </row>
        <row r="547">
          <cell r="B547" t="str">
            <v>Steam Pure Chemicals</v>
          </cell>
          <cell r="D547">
            <v>0</v>
          </cell>
        </row>
        <row r="548">
          <cell r="B548" t="str">
            <v>Forbes Pharmaceuticals</v>
          </cell>
        </row>
        <row r="549">
          <cell r="B549" t="str">
            <v>Lason Engineering Co. Ltd.</v>
          </cell>
        </row>
        <row r="550">
          <cell r="B550" t="str">
            <v>Unimex</v>
          </cell>
          <cell r="D550">
            <v>0</v>
          </cell>
        </row>
        <row r="551">
          <cell r="B551" t="str">
            <v>Alta Laboratories</v>
          </cell>
          <cell r="D551">
            <v>0</v>
          </cell>
        </row>
        <row r="552">
          <cell r="B552" t="str">
            <v>S.d.Fine Chem Ltd.</v>
          </cell>
        </row>
        <row r="553">
          <cell r="D553">
            <v>0</v>
          </cell>
        </row>
      </sheetData>
      <sheetData sheetId="6"/>
      <sheetData sheetId="7"/>
      <sheetData sheetId="8"/>
      <sheetData sheetId="9"/>
      <sheetData sheetId="10"/>
      <sheetData sheetId="11" refreshError="1"/>
      <sheetData sheetId="12" refreshError="1"/>
      <sheetData sheetId="13"/>
      <sheetData sheetId="14"/>
      <sheetData sheetId="15"/>
      <sheetData sheetId="16">
        <row r="434">
          <cell r="B434" t="str">
            <v>AMOL PHARMACEUTICALS P. LTD.</v>
          </cell>
        </row>
      </sheetData>
      <sheetData sheetId="17">
        <row r="434">
          <cell r="B434" t="str">
            <v>AMOL PHARMACEUTICALS P. LTD.</v>
          </cell>
        </row>
      </sheetData>
      <sheetData sheetId="18"/>
      <sheetData sheetId="19"/>
      <sheetData sheetId="20"/>
      <sheetData sheetId="21"/>
      <sheetData sheetId="22"/>
      <sheetData sheetId="23"/>
      <sheetData sheetId="24">
        <row r="434">
          <cell r="B434" t="str">
            <v>AMOL PHARMACEUTICALS P. LTD.</v>
          </cell>
        </row>
      </sheetData>
      <sheetData sheetId="25">
        <row r="434">
          <cell r="B434" t="str">
            <v>AMOL PHARMACEUTICALS P. LTD.</v>
          </cell>
        </row>
      </sheetData>
      <sheetData sheetId="26"/>
      <sheetData sheetId="27"/>
      <sheetData sheetId="28"/>
      <sheetData sheetId="29"/>
      <sheetData sheetId="30"/>
      <sheetData sheetId="31"/>
      <sheetData sheetId="32">
        <row r="434">
          <cell r="B434" t="str">
            <v>AMOL PHARMACEUTICALS P. LTD.</v>
          </cell>
        </row>
      </sheetData>
      <sheetData sheetId="33">
        <row r="434">
          <cell r="B434" t="str">
            <v>AMOL PHARMACEUTICALS P. LTD.</v>
          </cell>
        </row>
      </sheetData>
      <sheetData sheetId="34"/>
      <sheetData sheetId="35"/>
      <sheetData sheetId="3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0HHC"/>
      <sheetName val="80"/>
      <sheetName val="80HHC- final"/>
      <sheetName val="FAAMOL"/>
      <sheetName val="rough"/>
      <sheetName val="BS &amp; Pr &amp; Loss"/>
      <sheetName val="80HHC-_final1"/>
      <sheetName val="BS_&amp;_Pr_&amp;_Loss1"/>
      <sheetName val="80HHC-_final"/>
      <sheetName val="BS_&amp;_Pr_&amp;_Loss"/>
      <sheetName val="80HHC-_final2"/>
      <sheetName val="BS_&amp;_Pr_&amp;_Loss2"/>
    </sheetNames>
    <sheetDataSet>
      <sheetData sheetId="0"/>
      <sheetData sheetId="1"/>
      <sheetData sheetId="2">
        <row r="3">
          <cell r="B3" t="str">
            <v>JASICA IMPEX</v>
          </cell>
        </row>
        <row r="5">
          <cell r="B5" t="str">
            <v>ASSESSMENT YEAR 2001-2002</v>
          </cell>
        </row>
        <row r="7">
          <cell r="B7" t="str">
            <v>ANNEXURE TO CALCULATION OF DEDUCTION UNDER SECTION 80HHC</v>
          </cell>
        </row>
        <row r="9">
          <cell r="B9" t="str">
            <v>EXPORT TUNOVER</v>
          </cell>
          <cell r="G9" t="str">
            <v>TRADED</v>
          </cell>
          <cell r="H9" t="str">
            <v>MANU.</v>
          </cell>
          <cell r="I9" t="str">
            <v>TOTAL</v>
          </cell>
        </row>
        <row r="10">
          <cell r="G10" t="str">
            <v>GOODS</v>
          </cell>
          <cell r="H10" t="str">
            <v>GOODS</v>
          </cell>
          <cell r="I10" t="str">
            <v>TURNOVER</v>
          </cell>
        </row>
        <row r="12">
          <cell r="B12" t="str">
            <v xml:space="preserve">Turnover As Per Balance Sheet </v>
          </cell>
          <cell r="G12">
            <v>37484055</v>
          </cell>
          <cell r="H12">
            <v>116802</v>
          </cell>
          <cell r="I12">
            <v>37600857</v>
          </cell>
        </row>
        <row r="13">
          <cell r="B13" t="str">
            <v>Add: Exchange Fluctuation</v>
          </cell>
          <cell r="G13">
            <v>241671</v>
          </cell>
          <cell r="H13">
            <v>0</v>
          </cell>
          <cell r="I13">
            <v>241671</v>
          </cell>
        </row>
        <row r="14">
          <cell r="C14" t="str">
            <v>(A)</v>
          </cell>
          <cell r="G14">
            <v>37725726</v>
          </cell>
          <cell r="H14">
            <v>116802</v>
          </cell>
          <cell r="I14">
            <v>37842528</v>
          </cell>
        </row>
        <row r="15">
          <cell r="B15" t="str">
            <v xml:space="preserve">Less : Expenses </v>
          </cell>
        </row>
        <row r="16">
          <cell r="B16" t="str">
            <v xml:space="preserve">   Freight &amp; Insurance Attributed to Transport Of</v>
          </cell>
        </row>
        <row r="17">
          <cell r="B17" t="str">
            <v xml:space="preserve">      Goods Beyond the Custom Limit</v>
          </cell>
          <cell r="F17">
            <v>0</v>
          </cell>
        </row>
        <row r="18">
          <cell r="D18" t="str">
            <v>Freight</v>
          </cell>
          <cell r="G18">
            <v>2374777</v>
          </cell>
          <cell r="H18">
            <v>6991</v>
          </cell>
          <cell r="I18">
            <v>2381768</v>
          </cell>
        </row>
        <row r="19">
          <cell r="D19" t="str">
            <v>Insurance</v>
          </cell>
          <cell r="G19">
            <v>35448</v>
          </cell>
          <cell r="H19">
            <v>0</v>
          </cell>
          <cell r="I19">
            <v>35448</v>
          </cell>
        </row>
        <row r="20">
          <cell r="D20" t="str">
            <v>(B)</v>
          </cell>
          <cell r="G20">
            <v>2410225</v>
          </cell>
          <cell r="H20">
            <v>6991</v>
          </cell>
          <cell r="I20">
            <v>2417216</v>
          </cell>
        </row>
        <row r="21">
          <cell r="C21" t="str">
            <v>Total Turnover (A-B)</v>
          </cell>
          <cell r="G21">
            <v>35315501</v>
          </cell>
          <cell r="H21">
            <v>109811</v>
          </cell>
          <cell r="I21">
            <v>35425312</v>
          </cell>
        </row>
        <row r="22">
          <cell r="C22" t="str">
            <v xml:space="preserve">Export Turnover </v>
          </cell>
          <cell r="G22">
            <v>35315501</v>
          </cell>
          <cell r="H22">
            <v>109811</v>
          </cell>
          <cell r="I22">
            <v>35425312</v>
          </cell>
        </row>
        <row r="25">
          <cell r="B25" t="str">
            <v>DIRECT COST</v>
          </cell>
          <cell r="G25">
            <v>36097615.441343293</v>
          </cell>
          <cell r="H25">
            <v>184146.58235386317</v>
          </cell>
          <cell r="I25">
            <v>36281762.023697153</v>
          </cell>
        </row>
        <row r="28">
          <cell r="B28" t="str">
            <v>INDIRECT COST</v>
          </cell>
        </row>
        <row r="30">
          <cell r="B30" t="str">
            <v>Administrative Expenses</v>
          </cell>
          <cell r="I30">
            <v>574394.53</v>
          </cell>
        </row>
        <row r="31">
          <cell r="B31" t="str">
            <v>Selling Expenses</v>
          </cell>
          <cell r="I31">
            <v>542614.5</v>
          </cell>
        </row>
        <row r="32">
          <cell r="B32" t="str">
            <v>Financial Expenses</v>
          </cell>
          <cell r="I32">
            <v>548391.67999999993</v>
          </cell>
        </row>
        <row r="34">
          <cell r="E34" t="str">
            <v>Indirect Cost</v>
          </cell>
          <cell r="I34">
            <v>1665400.71</v>
          </cell>
        </row>
        <row r="36">
          <cell r="B36" t="str">
            <v>PROFIT OF TRADING GOODS</v>
          </cell>
        </row>
        <row r="38">
          <cell r="B38" t="str">
            <v>Export Sale (Trading Goods)</v>
          </cell>
          <cell r="I38">
            <v>35315501</v>
          </cell>
        </row>
        <row r="39">
          <cell r="B39" t="str">
            <v>Less : Direct Cost</v>
          </cell>
          <cell r="I39">
            <v>36097615.441343293</v>
          </cell>
        </row>
        <row r="40">
          <cell r="B40" t="str">
            <v>Less  :  Indirect Cost</v>
          </cell>
          <cell r="I40">
            <v>1660238.3188440432</v>
          </cell>
        </row>
        <row r="42">
          <cell r="B42" t="str">
            <v>PROFIT OF TRADING GOODS</v>
          </cell>
          <cell r="I42">
            <v>-2442352.7601873358</v>
          </cell>
        </row>
        <row r="44">
          <cell r="B44" t="str">
            <v>PROFIT OF THE BUSINESS</v>
          </cell>
        </row>
        <row r="46">
          <cell r="B46" t="str">
            <v>Net Profit As Per P&amp;L Account</v>
          </cell>
          <cell r="I46">
            <v>3566371.6300000027</v>
          </cell>
        </row>
        <row r="47">
          <cell r="B47" t="str">
            <v>Add  :  Depreciation As Per Companies Act</v>
          </cell>
          <cell r="I47">
            <v>0</v>
          </cell>
        </row>
        <row r="48">
          <cell r="I48">
            <v>3566371.6300000027</v>
          </cell>
        </row>
        <row r="49">
          <cell r="B49" t="str">
            <v>Less  :  Depriciation As per Income Tax Act</v>
          </cell>
          <cell r="H49">
            <v>0</v>
          </cell>
        </row>
        <row r="50">
          <cell r="B50" t="str">
            <v xml:space="preserve">               90% of Export Incentives</v>
          </cell>
          <cell r="H50">
            <v>5629104</v>
          </cell>
        </row>
        <row r="51">
          <cell r="I51">
            <v>5629104</v>
          </cell>
        </row>
        <row r="52">
          <cell r="D52" t="str">
            <v>Profit of the business</v>
          </cell>
          <cell r="I52">
            <v>-2062732.3699999973</v>
          </cell>
        </row>
        <row r="54">
          <cell r="B54" t="str">
            <v>ADJUSTED PROFIT OF THE BUSINESS</v>
          </cell>
        </row>
        <row r="56">
          <cell r="B56" t="str">
            <v>Profit of the business</v>
          </cell>
          <cell r="I56">
            <v>-2062732.3699999973</v>
          </cell>
        </row>
        <row r="57">
          <cell r="B57" t="str">
            <v>Less  :  Profit of trading goods</v>
          </cell>
          <cell r="I57">
            <v>-2442352.7601873358</v>
          </cell>
        </row>
        <row r="59">
          <cell r="C59" t="str">
            <v>ADJUSTED PROFIT OF THE BUSINESS</v>
          </cell>
          <cell r="I59">
            <v>379620.39018733846</v>
          </cell>
        </row>
        <row r="61">
          <cell r="B61" t="str">
            <v>DEDUCTION AVAILABLE UNDER SECTION 80HHC</v>
          </cell>
        </row>
        <row r="63">
          <cell r="B63" t="str">
            <v>Profit Of Trading Goods</v>
          </cell>
          <cell r="I63">
            <v>0</v>
          </cell>
        </row>
        <row r="64">
          <cell r="B64" t="str">
            <v>Adjusted Profit Of The Business</v>
          </cell>
          <cell r="I64">
            <v>379620.39018733846</v>
          </cell>
        </row>
        <row r="65">
          <cell r="B65" t="str">
            <v>90% of Export Incentives</v>
          </cell>
          <cell r="I65">
            <v>5629104</v>
          </cell>
        </row>
        <row r="67">
          <cell r="B67" t="str">
            <v>DEDUCTION UNDER SECTION 80HHC</v>
          </cell>
          <cell r="I67">
            <v>6008724.390187338</v>
          </cell>
        </row>
        <row r="69">
          <cell r="B69" t="str">
            <v>80% of DEDUCTION AVAILABLE UNDER SECTION 80HHC</v>
          </cell>
          <cell r="I69">
            <v>4806979.5121498704</v>
          </cell>
        </row>
      </sheetData>
      <sheetData sheetId="3"/>
      <sheetData sheetId="4" refreshError="1"/>
      <sheetData sheetId="5" refreshError="1"/>
      <sheetData sheetId="6">
        <row r="3">
          <cell r="B3" t="str">
            <v>JASICA IMPEX</v>
          </cell>
        </row>
      </sheetData>
      <sheetData sheetId="7"/>
      <sheetData sheetId="8">
        <row r="3">
          <cell r="B3" t="str">
            <v>JASICA IMPEX</v>
          </cell>
        </row>
      </sheetData>
      <sheetData sheetId="9"/>
      <sheetData sheetId="10">
        <row r="3">
          <cell r="B3" t="str">
            <v>JASICA IMPEX</v>
          </cell>
        </row>
      </sheetData>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stic molded furniture"/>
      <sheetName val=" jobwork-val."/>
      <sheetName val="jobwork detail"/>
      <sheetName val="Rework"/>
      <sheetName val="bank stock 31.3.03"/>
      <sheetName val="rm &amp; pm Reco.&amp; val"/>
      <sheetName val="stock reco - excise"/>
      <sheetName val="FG valuation"/>
      <sheetName val="WORKING OF TDS"/>
      <sheetName val="TDS"/>
      <sheetName val="AS 31.3.2003"/>
      <sheetName val="AS 22 1.4.2002"/>
      <sheetName val="COMPENSATION"/>
      <sheetName val="bal sheet  31.3.03."/>
      <sheetName val="RATIOS"/>
      <sheetName val="COMPUTATION"/>
      <sheetName val="CO-DEP"/>
      <sheetName val="DEPN TAX"/>
      <sheetName val="Excise Reco.- duty"/>
      <sheetName val="I.T.Workings"/>
      <sheetName val="ELECTRICITY"/>
      <sheetName val="Stock"/>
      <sheetName val="workin"/>
      <sheetName val="Sheet2"/>
      <sheetName val="rough"/>
      <sheetName val="(EVL) compens."/>
      <sheetName val="work"/>
      <sheetName val="sch E ( a)"/>
      <sheetName val="working"/>
      <sheetName val="80HHC- final"/>
      <sheetName val="plastic_molded_furniture1"/>
      <sheetName val="_jobwork-val_1"/>
      <sheetName val="jobwork_detail1"/>
      <sheetName val="bank_stock_31_3_031"/>
      <sheetName val="rm_&amp;_pm_Reco_&amp;_val1"/>
      <sheetName val="stock_reco_-_excise1"/>
      <sheetName val="FG_valuation1"/>
      <sheetName val="WORKING_OF_TDS1"/>
      <sheetName val="AS_31_3_20031"/>
      <sheetName val="AS_22_1_4_20021"/>
      <sheetName val="bal_sheet__31_3_03_1"/>
      <sheetName val="DEPN_TAX1"/>
      <sheetName val="Excise_Reco_-_duty1"/>
      <sheetName val="I_T_Workings1"/>
      <sheetName val="(EVL)_compens_1"/>
      <sheetName val="sch_E_(_a)1"/>
      <sheetName val="80HHC-_final1"/>
      <sheetName val="plastic_molded_furniture"/>
      <sheetName val="_jobwork-val_"/>
      <sheetName val="jobwork_detail"/>
      <sheetName val="bank_stock_31_3_03"/>
      <sheetName val="rm_&amp;_pm_Reco_&amp;_val"/>
      <sheetName val="stock_reco_-_excise"/>
      <sheetName val="FG_valuation"/>
      <sheetName val="WORKING_OF_TDS"/>
      <sheetName val="AS_31_3_2003"/>
      <sheetName val="AS_22_1_4_2002"/>
      <sheetName val="bal_sheet__31_3_03_"/>
      <sheetName val="DEPN_TAX"/>
      <sheetName val="Excise_Reco_-_duty"/>
      <sheetName val="I_T_Workings"/>
      <sheetName val="(EVL)_compens_"/>
      <sheetName val="sch_E_(_a)"/>
      <sheetName val="80HHC-_final"/>
      <sheetName val="plastic_molded_furniture2"/>
      <sheetName val="_jobwork-val_2"/>
      <sheetName val="jobwork_detail2"/>
      <sheetName val="bank_stock_31_3_032"/>
      <sheetName val="rm_&amp;_pm_Reco_&amp;_val2"/>
      <sheetName val="stock_reco_-_excise2"/>
      <sheetName val="FG_valuation2"/>
      <sheetName val="WORKING_OF_TDS2"/>
      <sheetName val="AS_31_3_20032"/>
      <sheetName val="AS_22_1_4_20022"/>
      <sheetName val="bal_sheet__31_3_03_2"/>
      <sheetName val="DEPN_TAX2"/>
      <sheetName val="Excise_Reco_-_duty2"/>
      <sheetName val="I_T_Workings2"/>
      <sheetName val="(EVL)_compens_2"/>
      <sheetName val="sch_E_(_a)2"/>
      <sheetName val="80HHC-_fin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sheetName val="2"/>
      <sheetName val="3"/>
      <sheetName val="4"/>
      <sheetName val="5"/>
      <sheetName val="6"/>
      <sheetName val="7"/>
      <sheetName val="8"/>
      <sheetName val="9"/>
      <sheetName val="10"/>
      <sheetName val="11"/>
      <sheetName val="Useful_Life"/>
      <sheetName val="Settings"/>
      <sheetName val="Ab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8">
          <cell r="C28" t="str">
            <v>Motor Cycles (Two-Wheelers)</v>
          </cell>
        </row>
        <row r="29">
          <cell r="C29" t="str">
            <v>Motor Cars</v>
          </cell>
        </row>
        <row r="30">
          <cell r="C30" t="str">
            <v>Motor Lorries</v>
          </cell>
        </row>
        <row r="31">
          <cell r="C31" t="str">
            <v>Motor Buses</v>
          </cell>
        </row>
        <row r="32">
          <cell r="C32" t="str">
            <v>Motor Cars used in a business of hire</v>
          </cell>
        </row>
        <row r="33">
          <cell r="C33" t="str">
            <v>Motor tractors, harvesting combines and heavy vehicles</v>
          </cell>
        </row>
        <row r="34">
          <cell r="C34" t="str">
            <v>Electrically operated vehicles</v>
          </cell>
        </row>
      </sheetData>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9SS (final)"/>
      <sheetName val="269T(final)"/>
      <sheetName val="269T_final_"/>
      <sheetName val="Data for Multiple &amp; ratios"/>
      <sheetName val="269SS_(final)1"/>
      <sheetName val="Data_for_Multiple_&amp;_ratios1"/>
      <sheetName val="269SS_(final)"/>
      <sheetName val="Data_for_Multiple_&amp;_ratios"/>
      <sheetName val="269SS_(final)2"/>
      <sheetName val="Data_for_Multiple_&amp;_ratios2"/>
    </sheetNames>
    <sheetDataSet>
      <sheetData sheetId="0"/>
      <sheetData sheetId="1"/>
      <sheetData sheetId="2"/>
      <sheetData sheetId="3" refreshError="1"/>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J)"/>
      <sheetName val="tb"/>
      <sheetName val="RAJNI01"/>
      <sheetName val="CRITERIA1"/>
      <sheetName val="269T(final)"/>
      <sheetName val="master"/>
      <sheetName val="BS SCH A-D"/>
      <sheetName val="ASSUMPTIONS"/>
      <sheetName val="FPS"/>
      <sheetName val="PBCLIST"/>
      <sheetName val="Sheet3 (2)"/>
      <sheetName val="DAMAGE"/>
      <sheetName val="Total ACA"/>
      <sheetName val="BIPR"/>
      <sheetName val="BPCA"/>
      <sheetName val="BBRS"/>
      <sheetName val="3-5"/>
      <sheetName val="tb31-03-03"/>
      <sheetName val="LE-FTE-Nos"/>
      <sheetName val="VCS - Dec - G&amp;T"/>
      <sheetName val="gen ledger data"/>
      <sheetName val="A"/>
      <sheetName val="INPUTMISC"/>
      <sheetName val="FAR Dec 15"/>
      <sheetName val="Insight 23-5-00"/>
      <sheetName val="Parameter_sheet"/>
      <sheetName val="A-D"/>
      <sheetName val="Plant Master"/>
      <sheetName val="Must Fill"/>
      <sheetName val="Sheet2"/>
      <sheetName val="RMPGR"/>
      <sheetName val="1"/>
      <sheetName val="2"/>
      <sheetName val="3"/>
      <sheetName val="4"/>
      <sheetName val="5"/>
      <sheetName val="6"/>
      <sheetName val="7"/>
      <sheetName val="8"/>
      <sheetName val="9"/>
      <sheetName val="10"/>
      <sheetName val="11"/>
      <sheetName val="12"/>
      <sheetName val="YTD"/>
      <sheetName val="Comp"/>
      <sheetName val="UPLA"/>
      <sheetName val="Cost Model"/>
      <sheetName val="Ledger"/>
      <sheetName val="HONOTES"/>
      <sheetName val="BS_SCH_A-D1"/>
      <sheetName val="Sheet3_(2)1"/>
      <sheetName val="Total_ACA1"/>
      <sheetName val="VCS_-_Dec_-_G&amp;T1"/>
      <sheetName val="gen_ledger_data1"/>
      <sheetName val="FAR_Dec_151"/>
      <sheetName val="Insight_23-5-001"/>
      <sheetName val="Plant_Master1"/>
      <sheetName val="Must_Fill1"/>
      <sheetName val="Cost_Model1"/>
      <sheetName val="BS_SCH_A-D"/>
      <sheetName val="Sheet3_(2)"/>
      <sheetName val="Total_ACA"/>
      <sheetName val="VCS_-_Dec_-_G&amp;T"/>
      <sheetName val="gen_ledger_data"/>
      <sheetName val="FAR_Dec_15"/>
      <sheetName val="Insight_23-5-00"/>
      <sheetName val="Plant_Master"/>
      <sheetName val="Must_Fill"/>
      <sheetName val="Cost_Model"/>
      <sheetName val="BS_SCH_A-D2"/>
      <sheetName val="Sheet3_(2)2"/>
      <sheetName val="Total_ACA2"/>
      <sheetName val="VCS_-_Dec_-_G&amp;T2"/>
      <sheetName val="gen_ledger_data2"/>
      <sheetName val="FAR_Dec_152"/>
      <sheetName val="Insight_23-5-002"/>
      <sheetName val="Plant_Master2"/>
      <sheetName val="Must_Fill2"/>
      <sheetName val="Cost_Model2"/>
      <sheetName val="Rates"/>
      <sheetName val="BS Rec Control Sheet"/>
      <sheetName val="Ann.II"/>
      <sheetName val="ras"/>
      <sheetName val="Credit Ratings"/>
      <sheetName val="Keys"/>
      <sheetName val="Sheet1"/>
      <sheetName val="Prodn Report"/>
      <sheetName val="inventories"/>
      <sheetName val="Lists"/>
      <sheetName val="PL"/>
      <sheetName val="F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stic"/>
      <sheetName val="jobwork reco"/>
      <sheetName val=" jobwork-val."/>
      <sheetName val="RM"/>
      <sheetName val="FG valuation(nos.)"/>
      <sheetName val="Stock"/>
      <sheetName val="workin"/>
      <sheetName val="Sheet2"/>
      <sheetName val="rough"/>
      <sheetName val="(EVL) compens."/>
      <sheetName val="work"/>
      <sheetName val="sch E ( a)"/>
      <sheetName val="working"/>
      <sheetName val="BS &amp; Pr &amp; Loss"/>
      <sheetName val="BS 590"/>
      <sheetName val="jobwork_reco1"/>
      <sheetName val="_jobwork-val_1"/>
      <sheetName val="FG_valuation(nos_)1"/>
      <sheetName val="(EVL)_compens_1"/>
      <sheetName val="sch_E_(_a)1"/>
      <sheetName val="BS_&amp;_Pr_&amp;_Loss1"/>
      <sheetName val="BS_5901"/>
      <sheetName val="jobwork_reco"/>
      <sheetName val="_jobwork-val_"/>
      <sheetName val="FG_valuation(nos_)"/>
      <sheetName val="(EVL)_compens_"/>
      <sheetName val="sch_E_(_a)"/>
      <sheetName val="BS_&amp;_Pr_&amp;_Loss"/>
      <sheetName val="BS_590"/>
      <sheetName val="jobwork_reco2"/>
      <sheetName val="_jobwork-val_2"/>
      <sheetName val="FG_valuation(nos_)2"/>
      <sheetName val="(EVL)_compens_2"/>
      <sheetName val="sch_E_(_a)2"/>
      <sheetName val="BS_&amp;_Pr_&amp;_Loss2"/>
      <sheetName val="BS_5902"/>
    </sheetNames>
    <sheetDataSet>
      <sheetData sheetId="0"/>
      <sheetData sheetId="1"/>
      <sheetData sheetId="2"/>
      <sheetData sheetId="3"/>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stic molded furniture"/>
      <sheetName val=" jobwork-val."/>
      <sheetName val="jobwork detail"/>
      <sheetName val="Rework"/>
      <sheetName val="bank stock 31.3.03"/>
      <sheetName val="rm &amp; pm Reco.&amp; val"/>
      <sheetName val="stock reco - excise"/>
      <sheetName val="FG valuation"/>
      <sheetName val="WORKING OF TDS"/>
      <sheetName val="TDS"/>
      <sheetName val="AS 31.3.2003"/>
      <sheetName val="AS 22 1.4.2002"/>
      <sheetName val="COMPENSATION"/>
      <sheetName val="bal sheet  31.3.03."/>
      <sheetName val="RATIOS"/>
      <sheetName val="COMPUTATION"/>
      <sheetName val="CO-DEP"/>
      <sheetName val="DEPN TAX"/>
      <sheetName val="Excise Reco.- duty"/>
      <sheetName val="I.T.Workings"/>
      <sheetName val="ELECTRICITY"/>
      <sheetName val="Stock"/>
      <sheetName val="workin"/>
      <sheetName val="Sheet2"/>
      <sheetName val="rough"/>
      <sheetName val="(EVL) compens."/>
      <sheetName val="work"/>
      <sheetName val="sch E ( a)"/>
      <sheetName val="working"/>
      <sheetName val="80HHC- final"/>
      <sheetName val="plastic_molded_furniture1"/>
      <sheetName val="_jobwork-val_1"/>
      <sheetName val="jobwork_detail1"/>
      <sheetName val="bank_stock_31_3_031"/>
      <sheetName val="rm_&amp;_pm_Reco_&amp;_val1"/>
      <sheetName val="stock_reco_-_excise1"/>
      <sheetName val="FG_valuation1"/>
      <sheetName val="WORKING_OF_TDS1"/>
      <sheetName val="AS_31_3_20031"/>
      <sheetName val="AS_22_1_4_20021"/>
      <sheetName val="bal_sheet__31_3_03_1"/>
      <sheetName val="DEPN_TAX1"/>
      <sheetName val="Excise_Reco_-_duty1"/>
      <sheetName val="I_T_Workings1"/>
      <sheetName val="(EVL)_compens_1"/>
      <sheetName val="sch_E_(_a)1"/>
      <sheetName val="80HHC-_final1"/>
      <sheetName val="plastic_molded_furniture"/>
      <sheetName val="_jobwork-val_"/>
      <sheetName val="jobwork_detail"/>
      <sheetName val="bank_stock_31_3_03"/>
      <sheetName val="rm_&amp;_pm_Reco_&amp;_val"/>
      <sheetName val="stock_reco_-_excise"/>
      <sheetName val="FG_valuation"/>
      <sheetName val="WORKING_OF_TDS"/>
      <sheetName val="AS_31_3_2003"/>
      <sheetName val="AS_22_1_4_2002"/>
      <sheetName val="bal_sheet__31_3_03_"/>
      <sheetName val="DEPN_TAX"/>
      <sheetName val="Excise_Reco_-_duty"/>
      <sheetName val="I_T_Workings"/>
      <sheetName val="(EVL)_compens_"/>
      <sheetName val="sch_E_(_a)"/>
      <sheetName val="80HHC-_final"/>
      <sheetName val="plastic_molded_furniture2"/>
      <sheetName val="_jobwork-val_2"/>
      <sheetName val="jobwork_detail2"/>
      <sheetName val="bank_stock_31_3_032"/>
      <sheetName val="rm_&amp;_pm_Reco_&amp;_val2"/>
      <sheetName val="stock_reco_-_excise2"/>
      <sheetName val="FG_valuation2"/>
      <sheetName val="WORKING_OF_TDS2"/>
      <sheetName val="AS_31_3_20032"/>
      <sheetName val="AS_22_1_4_20022"/>
      <sheetName val="bal_sheet__31_3_03_2"/>
      <sheetName val="DEPN_TAX2"/>
      <sheetName val="Excise_Reco_-_duty2"/>
      <sheetName val="I_T_Workings2"/>
      <sheetName val="(EVL)_compens_2"/>
      <sheetName val="sch_E_(_a)2"/>
      <sheetName val="80HHC-_fin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ing"/>
      <sheetName val="BS"/>
      <sheetName val="Control"/>
      <sheetName val="Agency BS"/>
    </sheetNames>
    <sheetDataSet>
      <sheetData sheetId="0" refreshError="1">
        <row r="540">
          <cell r="A540">
            <v>200000</v>
          </cell>
          <cell r="B540" t="str">
            <v>Loss On Sales Of Fixed Assets</v>
          </cell>
          <cell r="C540">
            <v>15657.47</v>
          </cell>
        </row>
        <row r="541">
          <cell r="A541">
            <v>201000</v>
          </cell>
          <cell r="B541" t="str">
            <v>Other non operating expenses</v>
          </cell>
          <cell r="C541">
            <v>13950</v>
          </cell>
        </row>
        <row r="542">
          <cell r="A542">
            <v>203000</v>
          </cell>
          <cell r="B542" t="str">
            <v>Bad Debts written off</v>
          </cell>
          <cell r="C542">
            <v>2482968.1800000002</v>
          </cell>
        </row>
        <row r="543">
          <cell r="A543">
            <v>203100</v>
          </cell>
          <cell r="B543" t="str">
            <v>Balances Written Off</v>
          </cell>
          <cell r="C543">
            <v>55200.2</v>
          </cell>
        </row>
        <row r="544">
          <cell r="A544">
            <v>203101</v>
          </cell>
          <cell r="B544" t="str">
            <v>Balances Written Back</v>
          </cell>
          <cell r="C544">
            <v>-1333882.21</v>
          </cell>
        </row>
        <row r="545">
          <cell r="A545">
            <v>211130</v>
          </cell>
          <cell r="B545" t="str">
            <v>Depreciation-plant and machinery</v>
          </cell>
          <cell r="C545">
            <v>1259185.01</v>
          </cell>
        </row>
        <row r="546">
          <cell r="A546">
            <v>211150</v>
          </cell>
          <cell r="B546" t="str">
            <v>Depreciation-Vehicles</v>
          </cell>
          <cell r="C546">
            <v>512313.66</v>
          </cell>
        </row>
        <row r="547">
          <cell r="A547">
            <v>211160</v>
          </cell>
          <cell r="B547" t="str">
            <v>Depreciation-office equipment</v>
          </cell>
          <cell r="C547">
            <v>594911.77</v>
          </cell>
        </row>
        <row r="548">
          <cell r="A548">
            <v>211180</v>
          </cell>
          <cell r="B548" t="str">
            <v>Depreciation -Computers</v>
          </cell>
          <cell r="C548">
            <v>4349481.34</v>
          </cell>
        </row>
        <row r="549">
          <cell r="A549">
            <v>211190</v>
          </cell>
          <cell r="B549" t="str">
            <v>Depreciation on furniture</v>
          </cell>
          <cell r="C549">
            <v>831805.58</v>
          </cell>
        </row>
        <row r="550">
          <cell r="A550">
            <v>211300</v>
          </cell>
          <cell r="B550" t="str">
            <v>Goodwill Written Off</v>
          </cell>
          <cell r="C550">
            <v>7692300</v>
          </cell>
        </row>
        <row r="551">
          <cell r="A551">
            <v>211310</v>
          </cell>
          <cell r="B551" t="str">
            <v>Business value W/Off</v>
          </cell>
          <cell r="C551">
            <v>13643100</v>
          </cell>
        </row>
        <row r="552">
          <cell r="A552">
            <v>211320</v>
          </cell>
          <cell r="B552" t="str">
            <v>Non-Compete fees W/off</v>
          </cell>
          <cell r="C552">
            <v>34463269.299999997</v>
          </cell>
        </row>
        <row r="553">
          <cell r="A553">
            <v>211330</v>
          </cell>
          <cell r="B553" t="str">
            <v>Software Written Off</v>
          </cell>
          <cell r="C553">
            <v>1216045.05</v>
          </cell>
        </row>
        <row r="554">
          <cell r="A554">
            <v>211340</v>
          </cell>
          <cell r="B554" t="str">
            <v>Comm.righ Written Off</v>
          </cell>
          <cell r="C554">
            <v>5563880.2300000004</v>
          </cell>
        </row>
        <row r="555">
          <cell r="A555">
            <v>220100</v>
          </cell>
          <cell r="B555" t="str">
            <v>Interest Foreign Currency Loans. (Group</v>
          </cell>
          <cell r="C555">
            <v>7408030.9900000002</v>
          </cell>
        </row>
        <row r="556">
          <cell r="A556">
            <v>220210</v>
          </cell>
          <cell r="B556" t="str">
            <v>Interest Term Loan</v>
          </cell>
          <cell r="C556">
            <v>14430890.359999999</v>
          </cell>
        </row>
        <row r="557">
          <cell r="A557">
            <v>220220</v>
          </cell>
          <cell r="B557" t="str">
            <v>Interest Packing Credit</v>
          </cell>
          <cell r="C557">
            <v>848394.46</v>
          </cell>
        </row>
        <row r="558">
          <cell r="A558">
            <v>220230</v>
          </cell>
          <cell r="B558" t="str">
            <v>Interest Cash Credit</v>
          </cell>
          <cell r="C558">
            <v>107741.02</v>
          </cell>
        </row>
        <row r="559">
          <cell r="A559">
            <v>220300</v>
          </cell>
          <cell r="B559" t="str">
            <v>Interest - Others</v>
          </cell>
          <cell r="C559">
            <v>-2475375.92</v>
          </cell>
        </row>
        <row r="560">
          <cell r="A560">
            <v>220301</v>
          </cell>
          <cell r="B560" t="str">
            <v>interest subsidy for staff welfare</v>
          </cell>
          <cell r="C560">
            <v>2651</v>
          </cell>
        </row>
        <row r="561">
          <cell r="A561">
            <v>220310</v>
          </cell>
          <cell r="B561" t="str">
            <v>Int.on Security Dep.</v>
          </cell>
          <cell r="C561">
            <v>2334353</v>
          </cell>
        </row>
        <row r="562">
          <cell r="A562">
            <v>221010</v>
          </cell>
          <cell r="B562" t="str">
            <v>Interest on Bills Discounted/Purchased</v>
          </cell>
          <cell r="C562">
            <v>703416.84</v>
          </cell>
        </row>
        <row r="563">
          <cell r="A563">
            <v>221020</v>
          </cell>
          <cell r="B563" t="str">
            <v>Bank collection charges</v>
          </cell>
          <cell r="C563">
            <v>155504.14000000001</v>
          </cell>
        </row>
        <row r="564">
          <cell r="A564">
            <v>221030</v>
          </cell>
          <cell r="B564" t="str">
            <v>Bank Charges D/D.</v>
          </cell>
          <cell r="C564">
            <v>167325.81</v>
          </cell>
        </row>
        <row r="565">
          <cell r="A565">
            <v>221040</v>
          </cell>
          <cell r="B565" t="str">
            <v>Bank Charges Remittances.</v>
          </cell>
          <cell r="C565">
            <v>383883.28</v>
          </cell>
        </row>
        <row r="566">
          <cell r="A566">
            <v>221050</v>
          </cell>
          <cell r="B566" t="str">
            <v>Bank Charges Others.</v>
          </cell>
          <cell r="C566">
            <v>1210983.94</v>
          </cell>
        </row>
        <row r="567">
          <cell r="A567">
            <v>230000</v>
          </cell>
          <cell r="B567" t="str">
            <v>Exchange loss  operating activities - r</v>
          </cell>
          <cell r="C567">
            <v>2908771.96</v>
          </cell>
        </row>
        <row r="568">
          <cell r="A568">
            <v>230010</v>
          </cell>
          <cell r="B568" t="str">
            <v>Valuation Loss-Operating activities</v>
          </cell>
          <cell r="C568">
            <v>355598.29</v>
          </cell>
        </row>
        <row r="569">
          <cell r="A569">
            <v>230011</v>
          </cell>
          <cell r="B569" t="str">
            <v>Exchange Loss Non Operating Unrealised</v>
          </cell>
          <cell r="C569">
            <v>6780000.8100000005</v>
          </cell>
        </row>
        <row r="570">
          <cell r="A570">
            <v>231000</v>
          </cell>
          <cell r="B570" t="str">
            <v>Price Diffrences - Raw Materials</v>
          </cell>
          <cell r="C570">
            <v>-141985.79</v>
          </cell>
        </row>
        <row r="571">
          <cell r="A571">
            <v>231030</v>
          </cell>
          <cell r="B571" t="str">
            <v>Price Difference-TRADING</v>
          </cell>
          <cell r="C571">
            <v>-3132304.12</v>
          </cell>
        </row>
        <row r="572">
          <cell r="A572">
            <v>231500</v>
          </cell>
          <cell r="B572" t="str">
            <v>Loss-internal product price differences</v>
          </cell>
          <cell r="C572">
            <v>754290.06</v>
          </cell>
        </row>
        <row r="573">
          <cell r="A573">
            <v>231600</v>
          </cell>
          <cell r="B573" t="str">
            <v>Repacking Charges-CCL</v>
          </cell>
          <cell r="C573">
            <v>149000</v>
          </cell>
        </row>
        <row r="574">
          <cell r="A574">
            <v>231800</v>
          </cell>
          <cell r="B574" t="str">
            <v>DEPB Utilised account - Trading</v>
          </cell>
          <cell r="C574">
            <v>4210947.71</v>
          </cell>
        </row>
        <row r="575">
          <cell r="A575">
            <v>231900</v>
          </cell>
          <cell r="B575" t="str">
            <v>Material Small Differences Rm PM Traded</v>
          </cell>
          <cell r="C575">
            <v>-15.75</v>
          </cell>
        </row>
        <row r="576">
          <cell r="A576">
            <v>232000</v>
          </cell>
          <cell r="B576" t="str">
            <v>NRV-W/off RM &amp; Trading</v>
          </cell>
          <cell r="C576">
            <v>-1136860</v>
          </cell>
        </row>
        <row r="577">
          <cell r="A577">
            <v>232500</v>
          </cell>
          <cell r="B577" t="str">
            <v>NRV-W/off-FG &amp;SFG</v>
          </cell>
          <cell r="C577">
            <v>2630654.25</v>
          </cell>
        </row>
        <row r="578">
          <cell r="A578">
            <v>233000</v>
          </cell>
          <cell r="B578" t="str">
            <v>Physical Stock Difference Raw Materials</v>
          </cell>
          <cell r="C578">
            <v>-2191838.7999999998</v>
          </cell>
        </row>
        <row r="579">
          <cell r="A579">
            <v>233792</v>
          </cell>
          <cell r="B579" t="str">
            <v>Physical Stock Difference Finished Good</v>
          </cell>
          <cell r="C579">
            <v>13439.18</v>
          </cell>
        </row>
        <row r="580">
          <cell r="A580">
            <v>241000</v>
          </cell>
          <cell r="B580" t="str">
            <v>Corporate income tax expense</v>
          </cell>
          <cell r="C580">
            <v>27845000</v>
          </cell>
        </row>
        <row r="581">
          <cell r="A581">
            <v>241002</v>
          </cell>
          <cell r="B581" t="str">
            <v>Deferred Tax Expense 2000</v>
          </cell>
          <cell r="C581">
            <v>-605000</v>
          </cell>
        </row>
        <row r="582">
          <cell r="A582">
            <v>250000</v>
          </cell>
          <cell r="B582" t="str">
            <v>Gain-fixed asset retirement</v>
          </cell>
          <cell r="C582">
            <v>-63443.08</v>
          </cell>
        </row>
        <row r="583">
          <cell r="A583">
            <v>251000</v>
          </cell>
          <cell r="B583" t="str">
            <v>Other Non Operating Income</v>
          </cell>
          <cell r="C583">
            <v>37178.19</v>
          </cell>
        </row>
        <row r="584">
          <cell r="A584">
            <v>274000</v>
          </cell>
          <cell r="B584" t="str">
            <v>Int.Received Banks</v>
          </cell>
          <cell r="C584">
            <v>-13427.27</v>
          </cell>
        </row>
        <row r="585">
          <cell r="A585">
            <v>274100</v>
          </cell>
          <cell r="B585" t="str">
            <v>Int Received-Deposit</v>
          </cell>
          <cell r="C585">
            <v>-105569</v>
          </cell>
        </row>
        <row r="586">
          <cell r="A586">
            <v>275120</v>
          </cell>
          <cell r="B586" t="str">
            <v>Interest on overdue bills -customers</v>
          </cell>
          <cell r="C586">
            <v>-3495664.94</v>
          </cell>
        </row>
        <row r="587">
          <cell r="A587">
            <v>276000</v>
          </cell>
          <cell r="B587" t="str">
            <v>Cash discount received</v>
          </cell>
          <cell r="C587">
            <v>-1258422.8799999999</v>
          </cell>
        </row>
        <row r="588">
          <cell r="A588">
            <v>276001</v>
          </cell>
          <cell r="B588" t="str">
            <v>Trade Discount Recd.-frm Germany(Purcha</v>
          </cell>
          <cell r="C588">
            <v>-4722160.8600000003</v>
          </cell>
        </row>
        <row r="589">
          <cell r="A589">
            <v>276002</v>
          </cell>
          <cell r="B589" t="str">
            <v>Trade Discount Recd.-on stock taken ove</v>
          </cell>
          <cell r="C589">
            <v>-898995.92</v>
          </cell>
        </row>
        <row r="590">
          <cell r="A590">
            <v>280000</v>
          </cell>
          <cell r="B590" t="str">
            <v>Gain-exchange rate differences</v>
          </cell>
          <cell r="C590">
            <v>-2239701.2799999998</v>
          </cell>
        </row>
        <row r="591">
          <cell r="A591">
            <v>280001</v>
          </cell>
          <cell r="B591" t="str">
            <v>Exchange Gains from non operating activ</v>
          </cell>
          <cell r="C591">
            <v>-336206.76</v>
          </cell>
        </row>
        <row r="592">
          <cell r="A592">
            <v>280010</v>
          </cell>
          <cell r="B592" t="str">
            <v>Exchange Rate Gains from operating acti</v>
          </cell>
          <cell r="C592">
            <v>155514.35999999999</v>
          </cell>
        </row>
        <row r="593">
          <cell r="A593">
            <v>280011</v>
          </cell>
          <cell r="B593" t="str">
            <v>Exc.gains Non-Op.Unrealized</v>
          </cell>
          <cell r="C593">
            <v>0</v>
          </cell>
        </row>
        <row r="594">
          <cell r="A594">
            <v>299010</v>
          </cell>
          <cell r="B594" t="str">
            <v>Insurance claim Received</v>
          </cell>
          <cell r="C594">
            <v>-242214</v>
          </cell>
        </row>
        <row r="595">
          <cell r="A595">
            <v>400000</v>
          </cell>
          <cell r="B595" t="str">
            <v>Consumption-Raw Material</v>
          </cell>
          <cell r="C595">
            <v>195748707.42000002</v>
          </cell>
        </row>
        <row r="596">
          <cell r="A596">
            <v>400010</v>
          </cell>
          <cell r="B596" t="str">
            <v>Consumption-Raw Material Imported</v>
          </cell>
          <cell r="C596">
            <v>3345976.35</v>
          </cell>
        </row>
        <row r="597">
          <cell r="A597">
            <v>400020</v>
          </cell>
          <cell r="B597" t="str">
            <v>Mater. consumed-R.M AND P.M W/O COST EL</v>
          </cell>
          <cell r="C597">
            <v>6667166.0200000005</v>
          </cell>
        </row>
        <row r="598">
          <cell r="A598">
            <v>400040</v>
          </cell>
          <cell r="B598" t="str">
            <v>Cost of purchase-BASF</v>
          </cell>
          <cell r="C598">
            <v>-784332</v>
          </cell>
        </row>
        <row r="599">
          <cell r="A599">
            <v>405000</v>
          </cell>
          <cell r="B599" t="str">
            <v>Consumption - Packing Material</v>
          </cell>
          <cell r="C599">
            <v>13575950.300000001</v>
          </cell>
        </row>
        <row r="600">
          <cell r="A600">
            <v>417000</v>
          </cell>
          <cell r="B600" t="str">
            <v>Conversion Cost - Variable</v>
          </cell>
          <cell r="C600">
            <v>33772000</v>
          </cell>
        </row>
        <row r="601">
          <cell r="A601">
            <v>417001</v>
          </cell>
          <cell r="B601" t="str">
            <v>Conversion Cost - Fixed</v>
          </cell>
          <cell r="C601">
            <v>78731000</v>
          </cell>
        </row>
        <row r="602">
          <cell r="A602">
            <v>430000</v>
          </cell>
          <cell r="B602" t="str">
            <v>Salaries</v>
          </cell>
          <cell r="C602">
            <v>6427686</v>
          </cell>
        </row>
        <row r="603">
          <cell r="A603">
            <v>430010</v>
          </cell>
          <cell r="B603" t="str">
            <v>Stipends</v>
          </cell>
          <cell r="C603">
            <v>11000</v>
          </cell>
        </row>
        <row r="604">
          <cell r="A604">
            <v>430020</v>
          </cell>
          <cell r="B604" t="str">
            <v>M.D's Salary</v>
          </cell>
          <cell r="C604">
            <v>974280</v>
          </cell>
        </row>
        <row r="605">
          <cell r="A605">
            <v>430040</v>
          </cell>
          <cell r="B605" t="str">
            <v>M.D's Leave Travelling</v>
          </cell>
          <cell r="C605">
            <v>190755</v>
          </cell>
        </row>
        <row r="606">
          <cell r="A606">
            <v>430050</v>
          </cell>
          <cell r="B606" t="str">
            <v>M.D's Electricity</v>
          </cell>
          <cell r="C606">
            <v>165478.1</v>
          </cell>
        </row>
        <row r="607">
          <cell r="A607">
            <v>430060</v>
          </cell>
          <cell r="B607" t="str">
            <v>Managing Directors Remuneration -Others</v>
          </cell>
          <cell r="C607">
            <v>197933</v>
          </cell>
        </row>
        <row r="608">
          <cell r="A608">
            <v>430070</v>
          </cell>
          <cell r="B608" t="str">
            <v>M.D's HRA</v>
          </cell>
          <cell r="C608">
            <v>486410</v>
          </cell>
        </row>
        <row r="609">
          <cell r="A609">
            <v>430090</v>
          </cell>
          <cell r="B609" t="str">
            <v>gifts</v>
          </cell>
          <cell r="C609">
            <v>100000</v>
          </cell>
        </row>
        <row r="610">
          <cell r="A610">
            <v>430100</v>
          </cell>
          <cell r="B610" t="str">
            <v>Conveyance-Salaries</v>
          </cell>
          <cell r="C610">
            <v>414773</v>
          </cell>
        </row>
        <row r="611">
          <cell r="A611">
            <v>430110</v>
          </cell>
          <cell r="B611" t="str">
            <v>HRA</v>
          </cell>
          <cell r="C611">
            <v>1269677</v>
          </cell>
        </row>
        <row r="612">
          <cell r="A612">
            <v>430120</v>
          </cell>
          <cell r="B612" t="str">
            <v>Lunch</v>
          </cell>
          <cell r="C612">
            <v>240455</v>
          </cell>
        </row>
        <row r="613">
          <cell r="A613">
            <v>430130</v>
          </cell>
          <cell r="B613" t="str">
            <v>Reimbursement of Interest cost to Emplo</v>
          </cell>
          <cell r="C613">
            <v>34844</v>
          </cell>
        </row>
        <row r="614">
          <cell r="A614">
            <v>432000</v>
          </cell>
          <cell r="B614" t="str">
            <v>Leave Encashment</v>
          </cell>
          <cell r="C614">
            <v>-588955</v>
          </cell>
        </row>
        <row r="615">
          <cell r="A615">
            <v>433000</v>
          </cell>
          <cell r="B615" t="str">
            <v>Reimbursement of Medical Staff.</v>
          </cell>
          <cell r="C615">
            <v>535452.97</v>
          </cell>
        </row>
        <row r="616">
          <cell r="A616">
            <v>433020</v>
          </cell>
          <cell r="B616" t="str">
            <v>Medical Aid Medicines.</v>
          </cell>
          <cell r="C616">
            <v>5800</v>
          </cell>
        </row>
        <row r="617">
          <cell r="A617">
            <v>433030</v>
          </cell>
          <cell r="B617" t="str">
            <v>Welfare Expenses Parties.</v>
          </cell>
          <cell r="C617">
            <v>329874.44</v>
          </cell>
        </row>
        <row r="618">
          <cell r="A618">
            <v>433040</v>
          </cell>
          <cell r="B618" t="str">
            <v>Welfare Exp.canteen</v>
          </cell>
          <cell r="C618">
            <v>141306.5</v>
          </cell>
        </row>
        <row r="619">
          <cell r="A619">
            <v>433050</v>
          </cell>
          <cell r="B619" t="str">
            <v>Welfare ExpTransport</v>
          </cell>
          <cell r="C619">
            <v>818825.5</v>
          </cell>
        </row>
        <row r="620">
          <cell r="A620">
            <v>433060</v>
          </cell>
          <cell r="B620" t="str">
            <v>Welfare Exp.Other</v>
          </cell>
          <cell r="C620">
            <v>348195.32</v>
          </cell>
        </row>
        <row r="621">
          <cell r="A621">
            <v>434000</v>
          </cell>
          <cell r="B621" t="str">
            <v>LTA-Staff</v>
          </cell>
          <cell r="C621">
            <v>604937</v>
          </cell>
        </row>
        <row r="622">
          <cell r="A622">
            <v>435000</v>
          </cell>
          <cell r="B622" t="str">
            <v>Ex-Gratia</v>
          </cell>
          <cell r="C622">
            <v>2842904</v>
          </cell>
        </row>
        <row r="623">
          <cell r="A623">
            <v>445000</v>
          </cell>
          <cell r="B623" t="str">
            <v>Company Cont. to Family Pension Fund</v>
          </cell>
          <cell r="C623">
            <v>108193</v>
          </cell>
        </row>
        <row r="624">
          <cell r="A624">
            <v>445010</v>
          </cell>
          <cell r="B624" t="str">
            <v>Contribution to P.F</v>
          </cell>
          <cell r="C624">
            <v>236768</v>
          </cell>
        </row>
        <row r="625">
          <cell r="A625">
            <v>445020</v>
          </cell>
          <cell r="B625" t="str">
            <v>Cont. to Gratuity</v>
          </cell>
          <cell r="C625">
            <v>228149</v>
          </cell>
        </row>
        <row r="626">
          <cell r="A626">
            <v>445030</v>
          </cell>
          <cell r="B626" t="str">
            <v>Admn.chg. P.F</v>
          </cell>
          <cell r="C626">
            <v>31752</v>
          </cell>
        </row>
        <row r="627">
          <cell r="A627">
            <v>445040</v>
          </cell>
          <cell r="B627" t="str">
            <v>EDLI ContributionPF</v>
          </cell>
          <cell r="C627">
            <v>7264</v>
          </cell>
        </row>
        <row r="628">
          <cell r="A628">
            <v>445050</v>
          </cell>
          <cell r="B628" t="str">
            <v>Cont.superannuation</v>
          </cell>
          <cell r="C628">
            <v>1148880</v>
          </cell>
        </row>
        <row r="629">
          <cell r="A629">
            <v>445060</v>
          </cell>
          <cell r="B629" t="str">
            <v>E.S.I.C Contribution</v>
          </cell>
          <cell r="C629">
            <v>6582</v>
          </cell>
        </row>
        <row r="630">
          <cell r="A630">
            <v>447000</v>
          </cell>
          <cell r="B630" t="str">
            <v>Reimbursement Mediclaim</v>
          </cell>
          <cell r="C630">
            <v>135596</v>
          </cell>
        </row>
        <row r="631">
          <cell r="A631">
            <v>447010</v>
          </cell>
          <cell r="B631" t="str">
            <v>Welfare expInsurance</v>
          </cell>
          <cell r="C631">
            <v>84638</v>
          </cell>
        </row>
        <row r="632">
          <cell r="A632">
            <v>451000</v>
          </cell>
          <cell r="B632" t="str">
            <v>Repairs Building(Office)</v>
          </cell>
          <cell r="C632">
            <v>168764</v>
          </cell>
        </row>
        <row r="633">
          <cell r="A633">
            <v>451100</v>
          </cell>
          <cell r="B633" t="str">
            <v>Repairs-Building-Res</v>
          </cell>
          <cell r="C633">
            <v>1225</v>
          </cell>
        </row>
        <row r="634">
          <cell r="A634">
            <v>452010</v>
          </cell>
          <cell r="B634" t="str">
            <v>Repairs &amp; Maintenance - Vehicles</v>
          </cell>
          <cell r="C634">
            <v>202479</v>
          </cell>
        </row>
        <row r="635">
          <cell r="A635">
            <v>452020</v>
          </cell>
          <cell r="B635" t="str">
            <v>R&amp;M Office Equipmen</v>
          </cell>
          <cell r="C635">
            <v>168418.8</v>
          </cell>
        </row>
        <row r="636">
          <cell r="A636">
            <v>452030</v>
          </cell>
          <cell r="B636" t="str">
            <v>R&amp;M Computers</v>
          </cell>
          <cell r="C636">
            <v>177880</v>
          </cell>
        </row>
        <row r="637">
          <cell r="A637">
            <v>452040</v>
          </cell>
          <cell r="B637" t="str">
            <v>R&amp;M Others</v>
          </cell>
          <cell r="C637">
            <v>100736</v>
          </cell>
        </row>
        <row r="638">
          <cell r="A638">
            <v>452050</v>
          </cell>
          <cell r="B638" t="str">
            <v>Software modification chg -for connecti</v>
          </cell>
          <cell r="C638">
            <v>1053740</v>
          </cell>
        </row>
        <row r="639">
          <cell r="A639">
            <v>460200</v>
          </cell>
          <cell r="B639" t="str">
            <v>Sales Tax Expense</v>
          </cell>
          <cell r="C639">
            <v>-271335</v>
          </cell>
        </row>
        <row r="640">
          <cell r="A640">
            <v>464000</v>
          </cell>
          <cell r="B640" t="str">
            <v>Motor Vehicle Expenses Taxes.</v>
          </cell>
          <cell r="C640">
            <v>9927</v>
          </cell>
        </row>
        <row r="641">
          <cell r="A641">
            <v>465000</v>
          </cell>
          <cell r="B641" t="str">
            <v>Excise duty paid</v>
          </cell>
          <cell r="C641">
            <v>48131814.890000001</v>
          </cell>
        </row>
        <row r="642">
          <cell r="A642">
            <v>465050</v>
          </cell>
          <cell r="B642" t="str">
            <v>Rates &amp; Taxes Others</v>
          </cell>
          <cell r="C642">
            <v>153522</v>
          </cell>
        </row>
        <row r="643">
          <cell r="A643">
            <v>466010</v>
          </cell>
          <cell r="B643" t="str">
            <v>Insurance Fixed Assets- Fire policy 'A'</v>
          </cell>
          <cell r="C643">
            <v>89406</v>
          </cell>
        </row>
        <row r="644">
          <cell r="A644">
            <v>466020</v>
          </cell>
          <cell r="B644" t="str">
            <v>Fire insurance - Finished Goods - fire</v>
          </cell>
          <cell r="C644">
            <v>897161</v>
          </cell>
        </row>
        <row r="645">
          <cell r="A645">
            <v>466030</v>
          </cell>
          <cell r="B645" t="str">
            <v>Transit Insurance - Exports- Marine &amp; A</v>
          </cell>
          <cell r="C645">
            <v>25015</v>
          </cell>
        </row>
        <row r="646">
          <cell r="A646">
            <v>466040</v>
          </cell>
          <cell r="B646" t="str">
            <v>Transit Insurance - Local-special decla</v>
          </cell>
          <cell r="C646">
            <v>308438</v>
          </cell>
        </row>
        <row r="647">
          <cell r="A647">
            <v>470050</v>
          </cell>
          <cell r="B647" t="str">
            <v>Operating Cost-CCL</v>
          </cell>
          <cell r="C647">
            <v>240000</v>
          </cell>
        </row>
        <row r="648">
          <cell r="A648">
            <v>471010</v>
          </cell>
          <cell r="B648" t="str">
            <v>Rent-Office Building</v>
          </cell>
          <cell r="C648">
            <v>4142130</v>
          </cell>
        </row>
        <row r="649">
          <cell r="A649">
            <v>471030</v>
          </cell>
          <cell r="B649" t="str">
            <v>Lease Rent Vehicles.</v>
          </cell>
          <cell r="C649">
            <v>2114273</v>
          </cell>
        </row>
        <row r="650">
          <cell r="A650">
            <v>471040</v>
          </cell>
          <cell r="B650" t="str">
            <v>Lease Rent Computers</v>
          </cell>
          <cell r="C650">
            <v>85176</v>
          </cell>
        </row>
        <row r="651">
          <cell r="A651">
            <v>471050</v>
          </cell>
          <cell r="B651" t="str">
            <v>Vehicle Hire Charges.</v>
          </cell>
          <cell r="C651">
            <v>63262</v>
          </cell>
        </row>
        <row r="652">
          <cell r="A652">
            <v>472000</v>
          </cell>
          <cell r="B652" t="str">
            <v>Freight Charge-FG</v>
          </cell>
          <cell r="C652">
            <v>3097718.78</v>
          </cell>
        </row>
        <row r="653">
          <cell r="A653">
            <v>472010</v>
          </cell>
          <cell r="B653" t="str">
            <v>Octroi on FG</v>
          </cell>
          <cell r="C653">
            <v>2170895.27</v>
          </cell>
        </row>
        <row r="654">
          <cell r="A654">
            <v>472020</v>
          </cell>
          <cell r="B654" t="str">
            <v>Freight Chg-others</v>
          </cell>
          <cell r="C654">
            <v>190690.24</v>
          </cell>
        </row>
        <row r="655">
          <cell r="A655">
            <v>472030</v>
          </cell>
          <cell r="B655" t="str">
            <v>Freight Chg.Exports</v>
          </cell>
          <cell r="C655">
            <v>1688777</v>
          </cell>
        </row>
        <row r="656">
          <cell r="A656">
            <v>472040</v>
          </cell>
          <cell r="B656" t="str">
            <v>C&amp;Fagents Commission</v>
          </cell>
          <cell r="C656">
            <v>6841582</v>
          </cell>
        </row>
        <row r="657">
          <cell r="A657">
            <v>472050</v>
          </cell>
          <cell r="B657" t="str">
            <v>C&amp;F Agents Charges</v>
          </cell>
          <cell r="C657">
            <v>93235.85</v>
          </cell>
        </row>
        <row r="658">
          <cell r="A658">
            <v>472060</v>
          </cell>
          <cell r="B658" t="str">
            <v>Export expenses</v>
          </cell>
          <cell r="C658">
            <v>1618410.22</v>
          </cell>
        </row>
        <row r="659">
          <cell r="A659">
            <v>472080</v>
          </cell>
          <cell r="B659" t="str">
            <v>C&amp;F agent Chg.Exports</v>
          </cell>
          <cell r="C659">
            <v>377339</v>
          </cell>
        </row>
        <row r="660">
          <cell r="A660">
            <v>473000</v>
          </cell>
          <cell r="B660" t="str">
            <v>Postage Courier.</v>
          </cell>
          <cell r="C660">
            <v>643144.54</v>
          </cell>
        </row>
        <row r="661">
          <cell r="A661">
            <v>473120</v>
          </cell>
          <cell r="B661" t="str">
            <v>Telecommunication Telephone</v>
          </cell>
          <cell r="C661">
            <v>2190153.09</v>
          </cell>
        </row>
        <row r="662">
          <cell r="A662">
            <v>473130</v>
          </cell>
          <cell r="B662" t="str">
            <v>E-mail/Internet  Charges</v>
          </cell>
          <cell r="C662">
            <v>24926</v>
          </cell>
        </row>
        <row r="663">
          <cell r="A663">
            <v>474210</v>
          </cell>
          <cell r="B663" t="str">
            <v>Travelling Boarding &amp; Lodging.</v>
          </cell>
          <cell r="C663">
            <v>1042819.13</v>
          </cell>
        </row>
        <row r="664">
          <cell r="A664">
            <v>474220</v>
          </cell>
          <cell r="B664" t="str">
            <v>Travelling Outstation Allowance</v>
          </cell>
          <cell r="C664">
            <v>3365</v>
          </cell>
        </row>
        <row r="665">
          <cell r="A665">
            <v>474230</v>
          </cell>
          <cell r="B665" t="str">
            <v>Travelling Foreign Fare.</v>
          </cell>
          <cell r="C665">
            <v>1329090.75</v>
          </cell>
        </row>
        <row r="666">
          <cell r="A666">
            <v>474235</v>
          </cell>
          <cell r="B666" t="str">
            <v>Travelling Local Fare.</v>
          </cell>
          <cell r="C666">
            <v>2196982.23</v>
          </cell>
        </row>
        <row r="667">
          <cell r="A667">
            <v>474240</v>
          </cell>
          <cell r="B667" t="str">
            <v>Travelling Expenses Others</v>
          </cell>
          <cell r="C667">
            <v>158299.76</v>
          </cell>
        </row>
        <row r="668">
          <cell r="A668">
            <v>474260</v>
          </cell>
          <cell r="B668" t="str">
            <v>Travelling Foreign Exchange.</v>
          </cell>
          <cell r="C668">
            <v>555275.72</v>
          </cell>
        </row>
        <row r="669">
          <cell r="A669">
            <v>474270</v>
          </cell>
          <cell r="B669" t="str">
            <v>Conveyance Local</v>
          </cell>
          <cell r="C669">
            <v>925281</v>
          </cell>
        </row>
        <row r="670">
          <cell r="A670">
            <v>474275</v>
          </cell>
          <cell r="B670" t="str">
            <v>Conveyance Outstation.</v>
          </cell>
          <cell r="C670">
            <v>120523</v>
          </cell>
        </row>
        <row r="671">
          <cell r="A671">
            <v>474500</v>
          </cell>
          <cell r="B671" t="str">
            <v>Lunch on Office Duty.</v>
          </cell>
          <cell r="C671">
            <v>26967</v>
          </cell>
        </row>
        <row r="672">
          <cell r="A672">
            <v>474510</v>
          </cell>
          <cell r="B672" t="str">
            <v>M.D's House main</v>
          </cell>
          <cell r="C672">
            <v>14400</v>
          </cell>
        </row>
        <row r="673">
          <cell r="A673">
            <v>474520</v>
          </cell>
          <cell r="B673" t="str">
            <v>Entertainment Exp.</v>
          </cell>
          <cell r="C673">
            <v>284116</v>
          </cell>
        </row>
        <row r="674">
          <cell r="A674">
            <v>474530</v>
          </cell>
          <cell r="B674" t="str">
            <v>Credit Card Fees</v>
          </cell>
          <cell r="C674">
            <v>22168</v>
          </cell>
        </row>
        <row r="675">
          <cell r="A675">
            <v>475000</v>
          </cell>
          <cell r="B675" t="str">
            <v>Vehicle costs</v>
          </cell>
          <cell r="C675">
            <v>0</v>
          </cell>
        </row>
        <row r="676">
          <cell r="A676">
            <v>476000</v>
          </cell>
          <cell r="B676" t="str">
            <v>Printing  - Invoices &amp; Forms.</v>
          </cell>
          <cell r="C676">
            <v>241305</v>
          </cell>
        </row>
        <row r="677">
          <cell r="A677">
            <v>476010</v>
          </cell>
          <cell r="B677" t="str">
            <v>Printing -Xerox.</v>
          </cell>
          <cell r="C677">
            <v>839</v>
          </cell>
        </row>
        <row r="678">
          <cell r="A678">
            <v>476020</v>
          </cell>
          <cell r="B678" t="str">
            <v>Printing -Others.</v>
          </cell>
          <cell r="C678">
            <v>8982</v>
          </cell>
        </row>
        <row r="679">
          <cell r="A679">
            <v>476030</v>
          </cell>
          <cell r="B679" t="str">
            <v>Stationery Computer</v>
          </cell>
          <cell r="C679">
            <v>239332</v>
          </cell>
        </row>
        <row r="680">
          <cell r="A680">
            <v>476040</v>
          </cell>
          <cell r="B680" t="str">
            <v>Stationery Pre-printed</v>
          </cell>
          <cell r="C680">
            <v>210362</v>
          </cell>
        </row>
        <row r="681">
          <cell r="A681">
            <v>476050</v>
          </cell>
          <cell r="B681" t="str">
            <v>stationery-others</v>
          </cell>
          <cell r="C681">
            <v>225344.25</v>
          </cell>
        </row>
        <row r="682">
          <cell r="A682">
            <v>476200</v>
          </cell>
          <cell r="B682" t="str">
            <v>Office &amp; Other Expenses House keeping.</v>
          </cell>
          <cell r="C682">
            <v>752531.5</v>
          </cell>
        </row>
        <row r="683">
          <cell r="A683">
            <v>476210</v>
          </cell>
          <cell r="B683" t="str">
            <v>Office &amp; Other Expenses Petty Purchases</v>
          </cell>
          <cell r="C683">
            <v>176888.28</v>
          </cell>
        </row>
        <row r="684">
          <cell r="A684">
            <v>476300</v>
          </cell>
          <cell r="B684" t="str">
            <v>Books&amp;Subs-Books</v>
          </cell>
          <cell r="C684">
            <v>8260</v>
          </cell>
        </row>
        <row r="685">
          <cell r="A685">
            <v>476310</v>
          </cell>
          <cell r="B685" t="str">
            <v>Books&amp;Subs-Memb.Fees</v>
          </cell>
          <cell r="C685">
            <v>60029.63</v>
          </cell>
        </row>
        <row r="686">
          <cell r="A686">
            <v>476420</v>
          </cell>
          <cell r="B686" t="str">
            <v>Prof.Chg.EDP</v>
          </cell>
          <cell r="C686">
            <v>1738446.83</v>
          </cell>
        </row>
        <row r="687">
          <cell r="A687">
            <v>476430</v>
          </cell>
          <cell r="B687" t="str">
            <v>Prof.chg.recruitment</v>
          </cell>
          <cell r="C687">
            <v>45675</v>
          </cell>
        </row>
        <row r="688">
          <cell r="A688">
            <v>476440</v>
          </cell>
          <cell r="B688" t="str">
            <v>Prof.chg-Sales tax</v>
          </cell>
          <cell r="C688">
            <v>0</v>
          </cell>
        </row>
        <row r="689">
          <cell r="A689">
            <v>476450</v>
          </cell>
          <cell r="B689" t="str">
            <v>ProfChgcertification</v>
          </cell>
          <cell r="C689">
            <v>500</v>
          </cell>
        </row>
        <row r="690">
          <cell r="A690">
            <v>476460</v>
          </cell>
          <cell r="B690" t="str">
            <v>Prof.Chg.Consultants</v>
          </cell>
          <cell r="C690">
            <v>495509</v>
          </cell>
        </row>
        <row r="691">
          <cell r="A691">
            <v>476470</v>
          </cell>
          <cell r="B691" t="str">
            <v>Professional Charges-Others</v>
          </cell>
          <cell r="C691">
            <v>0</v>
          </cell>
        </row>
        <row r="692">
          <cell r="A692">
            <v>476600</v>
          </cell>
          <cell r="B692" t="str">
            <v>Electricity Charges.</v>
          </cell>
          <cell r="C692">
            <v>766603</v>
          </cell>
        </row>
        <row r="693">
          <cell r="A693">
            <v>476610</v>
          </cell>
          <cell r="B693" t="str">
            <v>Water Charges</v>
          </cell>
          <cell r="C693">
            <v>91704</v>
          </cell>
        </row>
        <row r="694">
          <cell r="A694">
            <v>476690</v>
          </cell>
          <cell r="B694" t="str">
            <v>Filing Fee&amp;StampDuty</v>
          </cell>
          <cell r="C694">
            <v>272545</v>
          </cell>
        </row>
        <row r="695">
          <cell r="A695">
            <v>476700</v>
          </cell>
          <cell r="B695" t="str">
            <v>Statutory audit fees</v>
          </cell>
          <cell r="C695">
            <v>1118250</v>
          </cell>
        </row>
        <row r="696">
          <cell r="A696">
            <v>476710</v>
          </cell>
          <cell r="B696" t="str">
            <v>Statutory audit-Exp</v>
          </cell>
          <cell r="C696">
            <v>30623</v>
          </cell>
        </row>
        <row r="697">
          <cell r="A697">
            <v>476720</v>
          </cell>
          <cell r="B697" t="str">
            <v>Tax Audit fees</v>
          </cell>
          <cell r="C697">
            <v>42250</v>
          </cell>
        </row>
        <row r="698">
          <cell r="A698">
            <v>476740</v>
          </cell>
          <cell r="B698" t="str">
            <v>Audit Expenses - other fees</v>
          </cell>
          <cell r="C698">
            <v>-3400</v>
          </cell>
        </row>
        <row r="699">
          <cell r="A699">
            <v>476800</v>
          </cell>
          <cell r="B699" t="str">
            <v>Lab Testing material</v>
          </cell>
          <cell r="C699">
            <v>288033</v>
          </cell>
        </row>
        <row r="700">
          <cell r="A700">
            <v>476810</v>
          </cell>
          <cell r="B700" t="str">
            <v>Vendor Dev.CCl</v>
          </cell>
          <cell r="C700">
            <v>188805</v>
          </cell>
        </row>
        <row r="701">
          <cell r="A701">
            <v>477000</v>
          </cell>
          <cell r="B701" t="str">
            <v>Advertising Calendars</v>
          </cell>
          <cell r="C701">
            <v>157635</v>
          </cell>
        </row>
        <row r="702">
          <cell r="A702">
            <v>477001</v>
          </cell>
          <cell r="B702" t="str">
            <v>Adv.Exhibitions</v>
          </cell>
          <cell r="C702">
            <v>110357</v>
          </cell>
        </row>
        <row r="703">
          <cell r="A703">
            <v>477030</v>
          </cell>
          <cell r="B703" t="str">
            <v>Adv.news papers</v>
          </cell>
          <cell r="C703">
            <v>307924.55</v>
          </cell>
        </row>
        <row r="704">
          <cell r="A704">
            <v>477040</v>
          </cell>
          <cell r="B704" t="str">
            <v>printing shade cards</v>
          </cell>
          <cell r="C704">
            <v>69420</v>
          </cell>
        </row>
        <row r="705">
          <cell r="A705">
            <v>477050</v>
          </cell>
          <cell r="B705" t="str">
            <v>Printing -Product Literature.</v>
          </cell>
          <cell r="C705">
            <v>0</v>
          </cell>
        </row>
        <row r="706">
          <cell r="A706">
            <v>477060</v>
          </cell>
          <cell r="B706" t="str">
            <v>Corporate ser.CCL</v>
          </cell>
          <cell r="C706">
            <v>41400</v>
          </cell>
        </row>
        <row r="707">
          <cell r="A707">
            <v>477070</v>
          </cell>
          <cell r="B707" t="str">
            <v>Ent.exp.Customer</v>
          </cell>
          <cell r="C707">
            <v>111706.67</v>
          </cell>
        </row>
        <row r="708">
          <cell r="A708">
            <v>477080</v>
          </cell>
          <cell r="B708" t="str">
            <v>Ent.exp.stockist</v>
          </cell>
          <cell r="C708">
            <v>2922</v>
          </cell>
        </row>
        <row r="709">
          <cell r="A709">
            <v>477100</v>
          </cell>
          <cell r="B709" t="str">
            <v>information technology services</v>
          </cell>
          <cell r="C709">
            <v>123000</v>
          </cell>
        </row>
        <row r="710">
          <cell r="A710">
            <v>477200</v>
          </cell>
          <cell r="B710" t="str">
            <v>Advertising gifts</v>
          </cell>
          <cell r="C710">
            <v>11260</v>
          </cell>
        </row>
        <row r="711">
          <cell r="A711">
            <v>477400</v>
          </cell>
          <cell r="B711" t="str">
            <v>Cost of samples received</v>
          </cell>
          <cell r="C711">
            <v>765777.12</v>
          </cell>
        </row>
        <row r="712">
          <cell r="A712">
            <v>477410</v>
          </cell>
          <cell r="B712" t="str">
            <v>Cost of samples from Stock</v>
          </cell>
          <cell r="C712">
            <v>289402.31</v>
          </cell>
        </row>
        <row r="713">
          <cell r="A713">
            <v>477900</v>
          </cell>
          <cell r="B713" t="str">
            <v>Sales commission (brokerage)</v>
          </cell>
          <cell r="C713">
            <v>2896822.9</v>
          </cell>
        </row>
        <row r="714">
          <cell r="A714">
            <v>477910</v>
          </cell>
          <cell r="B714" t="str">
            <v>Comm.to sub-indent</v>
          </cell>
          <cell r="C714">
            <v>294222.51</v>
          </cell>
        </row>
        <row r="715">
          <cell r="A715">
            <v>800000</v>
          </cell>
          <cell r="B715" t="str">
            <v>Local Sales</v>
          </cell>
          <cell r="C715">
            <v>-636906883.39999998</v>
          </cell>
        </row>
        <row r="716">
          <cell r="A716">
            <v>800005</v>
          </cell>
          <cell r="B716" t="str">
            <v>Local Sales</v>
          </cell>
          <cell r="C716">
            <v>-33211.410000000003</v>
          </cell>
        </row>
        <row r="717">
          <cell r="A717">
            <v>800010</v>
          </cell>
          <cell r="B717" t="str">
            <v>Raw Mat. Local Sale</v>
          </cell>
          <cell r="C717">
            <v>-1484762.6</v>
          </cell>
        </row>
        <row r="718">
          <cell r="A718">
            <v>800100</v>
          </cell>
          <cell r="B718" t="str">
            <v>Handling charges</v>
          </cell>
          <cell r="C718">
            <v>-569591.38</v>
          </cell>
        </row>
        <row r="719">
          <cell r="A719">
            <v>800110</v>
          </cell>
          <cell r="B719" t="str">
            <v>Freight Recovered</v>
          </cell>
          <cell r="C719">
            <v>-72141.100000000006</v>
          </cell>
        </row>
        <row r="720">
          <cell r="A720">
            <v>800120</v>
          </cell>
          <cell r="B720" t="str">
            <v>Insurance Recovered</v>
          </cell>
          <cell r="C720">
            <v>-699171.23</v>
          </cell>
        </row>
        <row r="721">
          <cell r="A721">
            <v>800130</v>
          </cell>
          <cell r="B721" t="str">
            <v>Octroi Recovered-L</v>
          </cell>
          <cell r="C721">
            <v>-2151284.75</v>
          </cell>
        </row>
        <row r="722">
          <cell r="A722">
            <v>800150</v>
          </cell>
          <cell r="B722" t="str">
            <v>Excise Recovered on sales</v>
          </cell>
          <cell r="C722">
            <v>-92794475.75</v>
          </cell>
        </row>
        <row r="723">
          <cell r="A723">
            <v>801000</v>
          </cell>
          <cell r="B723" t="str">
            <v>Export Sales</v>
          </cell>
          <cell r="C723">
            <v>-100089981.04000001</v>
          </cell>
        </row>
        <row r="724">
          <cell r="A724">
            <v>802010</v>
          </cell>
          <cell r="B724" t="str">
            <v>Indent Comm.Foreign</v>
          </cell>
          <cell r="C724">
            <v>-7509837.3900000006</v>
          </cell>
        </row>
        <row r="725">
          <cell r="A725">
            <v>802020</v>
          </cell>
          <cell r="B725" t="str">
            <v>Reverse Indent Commission-Foreign</v>
          </cell>
          <cell r="C725">
            <v>-30546715.060000002</v>
          </cell>
        </row>
        <row r="726">
          <cell r="A726">
            <v>803000</v>
          </cell>
          <cell r="B726" t="str">
            <v>Service Charges</v>
          </cell>
          <cell r="C726">
            <v>-5633304.29</v>
          </cell>
        </row>
        <row r="727">
          <cell r="A727">
            <v>860010</v>
          </cell>
          <cell r="B727" t="str">
            <v>Duty drawback</v>
          </cell>
          <cell r="C727">
            <v>602991.15</v>
          </cell>
        </row>
        <row r="728">
          <cell r="A728">
            <v>860020</v>
          </cell>
          <cell r="B728" t="str">
            <v>Brand duty received</v>
          </cell>
          <cell r="C728">
            <v>497030.67</v>
          </cell>
        </row>
        <row r="729">
          <cell r="A729">
            <v>860030</v>
          </cell>
          <cell r="B729" t="str">
            <v>D.E.P.B. Income</v>
          </cell>
          <cell r="C729">
            <v>-3764545.15</v>
          </cell>
        </row>
        <row r="730">
          <cell r="A730">
            <v>860040</v>
          </cell>
          <cell r="B730" t="str">
            <v>Brand duty received on imports (1% S.V.B)</v>
          </cell>
          <cell r="C730">
            <v>-85492</v>
          </cell>
        </row>
        <row r="731">
          <cell r="A731">
            <v>880000</v>
          </cell>
          <cell r="B731" t="str">
            <v>Customer discounts(Cash Discount)</v>
          </cell>
          <cell r="C731">
            <v>8861119.0399999991</v>
          </cell>
        </row>
        <row r="732">
          <cell r="A732">
            <v>881000</v>
          </cell>
          <cell r="B732" t="str">
            <v>Payment Differences (Rounding Off Diffe</v>
          </cell>
          <cell r="C732">
            <v>446.16</v>
          </cell>
        </row>
        <row r="733">
          <cell r="A733">
            <v>883000</v>
          </cell>
          <cell r="B733" t="str">
            <v>Discount on Sales-Packing Material Disc</v>
          </cell>
          <cell r="C733">
            <v>12849.71</v>
          </cell>
        </row>
        <row r="734">
          <cell r="A734">
            <v>883010</v>
          </cell>
          <cell r="B734" t="str">
            <v>Shortage,Leakage W/o</v>
          </cell>
          <cell r="C734">
            <v>208942.43</v>
          </cell>
        </row>
        <row r="735">
          <cell r="A735">
            <v>883020</v>
          </cell>
          <cell r="B735" t="str">
            <v>Excise/octroi Written Off</v>
          </cell>
          <cell r="C735">
            <v>228921.83</v>
          </cell>
        </row>
        <row r="736">
          <cell r="A736">
            <v>884000</v>
          </cell>
          <cell r="B736" t="str">
            <v>Rebate on Sales-Trade Discount, Qty dis</v>
          </cell>
          <cell r="C736">
            <v>11520973.59</v>
          </cell>
        </row>
        <row r="737">
          <cell r="A737">
            <v>889000</v>
          </cell>
          <cell r="B737" t="str">
            <v>Other sales deductions</v>
          </cell>
          <cell r="C737">
            <v>315497.11</v>
          </cell>
        </row>
        <row r="738">
          <cell r="A738">
            <v>890000</v>
          </cell>
          <cell r="B738" t="str">
            <v>Inventory change-SFG Issue to Prod. Ord</v>
          </cell>
          <cell r="C738">
            <v>382080329.37</v>
          </cell>
        </row>
        <row r="739">
          <cell r="A739">
            <v>891000</v>
          </cell>
          <cell r="B739" t="str">
            <v>Inventory change-work in process</v>
          </cell>
          <cell r="C739">
            <v>-967548.68</v>
          </cell>
        </row>
        <row r="740">
          <cell r="A740">
            <v>892000</v>
          </cell>
          <cell r="B740" t="str">
            <v>Inventory change-F.G.-Reprocessing</v>
          </cell>
          <cell r="C740">
            <v>4210344.32</v>
          </cell>
        </row>
        <row r="741">
          <cell r="A741">
            <v>893100</v>
          </cell>
          <cell r="B741" t="str">
            <v>Inv.Chg.cost MFG/SF Sold</v>
          </cell>
          <cell r="C741">
            <v>626680.34</v>
          </cell>
        </row>
        <row r="742">
          <cell r="A742">
            <v>893150</v>
          </cell>
          <cell r="B742" t="str">
            <v>Inv.Chg.-Valuation for excis etc</v>
          </cell>
          <cell r="C742">
            <v>0</v>
          </cell>
        </row>
        <row r="743">
          <cell r="A743">
            <v>893200</v>
          </cell>
          <cell r="B743" t="str">
            <v>Inv.Chg.Cost MfG/FG Sold</v>
          </cell>
          <cell r="C743">
            <v>325102023.63999999</v>
          </cell>
        </row>
        <row r="744">
          <cell r="A744">
            <v>894005</v>
          </cell>
          <cell r="B744" t="str">
            <v>Cost of RM Sold</v>
          </cell>
          <cell r="C744">
            <v>1884410.17</v>
          </cell>
        </row>
        <row r="745">
          <cell r="A745">
            <v>894010</v>
          </cell>
          <cell r="B745" t="str">
            <v>Inventory change-cost of Trading Goods</v>
          </cell>
          <cell r="C745">
            <v>285429072.79000002</v>
          </cell>
        </row>
        <row r="746">
          <cell r="A746">
            <v>894020</v>
          </cell>
          <cell r="B746" t="str">
            <v>Inventory change-Trading Goods(High Sea</v>
          </cell>
          <cell r="C746">
            <v>3885217.67</v>
          </cell>
        </row>
        <row r="747">
          <cell r="A747">
            <v>895000</v>
          </cell>
          <cell r="B747" t="str">
            <v>Inventory change-SFG-Receipt from Prod.</v>
          </cell>
          <cell r="C747">
            <v>-384459592.77999997</v>
          </cell>
        </row>
        <row r="748">
          <cell r="A748">
            <v>895200</v>
          </cell>
          <cell r="B748" t="str">
            <v>Inventory change-FG-Receipt from Produc</v>
          </cell>
          <cell r="C748">
            <v>-309160446.94</v>
          </cell>
        </row>
        <row r="749">
          <cell r="A749" t="str">
            <v>Administration Cost</v>
          </cell>
        </row>
        <row r="750">
          <cell r="A750" t="str">
            <v>Administration Cost</v>
          </cell>
          <cell r="C750">
            <v>108955421.69</v>
          </cell>
        </row>
        <row r="751">
          <cell r="A751" t="str">
            <v>Audit Expenses</v>
          </cell>
        </row>
        <row r="752">
          <cell r="A752" t="str">
            <v>Audit Expenses</v>
          </cell>
          <cell r="C752">
            <v>1187723</v>
          </cell>
        </row>
        <row r="753">
          <cell r="A753" t="str">
            <v>Consumption Raw Materials</v>
          </cell>
        </row>
        <row r="754">
          <cell r="A754" t="str">
            <v>Consumption Raw Materials</v>
          </cell>
          <cell r="C754">
            <v>218553468.09000003</v>
          </cell>
        </row>
        <row r="755">
          <cell r="A755" t="str">
            <v>Consumption Trading Goods</v>
          </cell>
        </row>
        <row r="756">
          <cell r="A756" t="str">
            <v>Consumption Trading Goods</v>
          </cell>
          <cell r="C756">
            <v>289314290.46000004</v>
          </cell>
        </row>
        <row r="757">
          <cell r="A757" t="str">
            <v>Conversion Charges</v>
          </cell>
        </row>
        <row r="758">
          <cell r="A758" t="str">
            <v>Conversion Charges</v>
          </cell>
          <cell r="C758">
            <v>112652000</v>
          </cell>
        </row>
        <row r="759">
          <cell r="A759" t="str">
            <v>Depreciation</v>
          </cell>
        </row>
        <row r="760">
          <cell r="A760" t="str">
            <v>Depreciation</v>
          </cell>
          <cell r="C760">
            <v>70126291.939999998</v>
          </cell>
        </row>
        <row r="761">
          <cell r="A761" t="str">
            <v>Excise Duty paid</v>
          </cell>
        </row>
        <row r="762">
          <cell r="A762" t="str">
            <v>Excise Duty paid</v>
          </cell>
          <cell r="C762">
            <v>48131814.890000001</v>
          </cell>
        </row>
        <row r="763">
          <cell r="A763" t="str">
            <v>Expenditure</v>
          </cell>
        </row>
        <row r="764">
          <cell r="A764" t="str">
            <v>Expenditure</v>
          </cell>
          <cell r="C764">
            <v>1598078735.4299998</v>
          </cell>
        </row>
        <row r="765">
          <cell r="A765" t="str">
            <v>Income</v>
          </cell>
          <cell r="C765">
            <v>-1583390919.79</v>
          </cell>
        </row>
        <row r="766">
          <cell r="A766" t="str">
            <v>Income-tax paid</v>
          </cell>
        </row>
        <row r="767">
          <cell r="A767" t="str">
            <v>Income-tax paid</v>
          </cell>
          <cell r="C767">
            <v>27240000</v>
          </cell>
        </row>
        <row r="768">
          <cell r="A768" t="str">
            <v>Interest</v>
          </cell>
        </row>
        <row r="769">
          <cell r="A769" t="str">
            <v>Interest</v>
          </cell>
          <cell r="C769">
            <v>23360101.750000004</v>
          </cell>
        </row>
        <row r="770">
          <cell r="A770" t="str">
            <v>Inventory Changes</v>
          </cell>
        </row>
        <row r="771">
          <cell r="A771" t="str">
            <v>Inventory Changes</v>
          </cell>
          <cell r="C771">
            <v>-694587588.39999998</v>
          </cell>
        </row>
        <row r="772">
          <cell r="A772" t="str">
            <v>Inventory Changes</v>
          </cell>
        </row>
        <row r="773">
          <cell r="A773" t="str">
            <v>Inventory Changes</v>
          </cell>
          <cell r="C773">
            <v>713903787.83999991</v>
          </cell>
        </row>
        <row r="774">
          <cell r="A774" t="str">
            <v>Micellaneous expenses</v>
          </cell>
        </row>
        <row r="775">
          <cell r="A775" t="str">
            <v>Micellaneous expenses</v>
          </cell>
          <cell r="C775">
            <v>38283896.520000003</v>
          </cell>
        </row>
        <row r="776">
          <cell r="A776" t="str">
            <v>Other Income</v>
          </cell>
        </row>
        <row r="777">
          <cell r="A777" t="str">
            <v>Other Income</v>
          </cell>
          <cell r="C777">
            <v>-57494017.189999998</v>
          </cell>
        </row>
        <row r="778">
          <cell r="A778" t="str">
            <v>Others Expenditure</v>
          </cell>
        </row>
        <row r="779">
          <cell r="A779" t="str">
            <v>Others Expenditure</v>
          </cell>
          <cell r="C779">
            <v>21148749.869999997</v>
          </cell>
        </row>
        <row r="780">
          <cell r="A780" t="str">
            <v>Personnel cost</v>
          </cell>
        </row>
        <row r="781">
          <cell r="A781" t="str">
            <v>Personnel cost</v>
          </cell>
          <cell r="C781">
            <v>17439453.829999998</v>
          </cell>
        </row>
        <row r="782">
          <cell r="A782" t="str">
            <v>Postage and communication cost</v>
          </cell>
        </row>
        <row r="783">
          <cell r="A783" t="str">
            <v>Postage and communication cost</v>
          </cell>
          <cell r="C783">
            <v>2858223.63</v>
          </cell>
        </row>
        <row r="784">
          <cell r="A784" t="str">
            <v>Printing &amp; Stationery</v>
          </cell>
        </row>
        <row r="785">
          <cell r="A785" t="str">
            <v>Printing &amp; Stationery</v>
          </cell>
          <cell r="C785">
            <v>1471798.43</v>
          </cell>
        </row>
        <row r="786">
          <cell r="A786" t="str">
            <v>Professional Charges</v>
          </cell>
        </row>
        <row r="787">
          <cell r="A787" t="str">
            <v>Professional Charges</v>
          </cell>
          <cell r="C787">
            <v>2280130.83</v>
          </cell>
        </row>
        <row r="788">
          <cell r="A788" t="str">
            <v>Profit &amp; Loss Account</v>
          </cell>
          <cell r="C788">
            <v>14687815.639999866</v>
          </cell>
        </row>
        <row r="789">
          <cell r="A789" t="str">
            <v>Rent Rates and Taxes</v>
          </cell>
        </row>
        <row r="790">
          <cell r="A790" t="str">
            <v>Rent Rates and Taxes</v>
          </cell>
          <cell r="C790">
            <v>6536955</v>
          </cell>
        </row>
        <row r="791">
          <cell r="A791" t="str">
            <v>Repairs &amp; Maintainence</v>
          </cell>
        </row>
        <row r="792">
          <cell r="A792" t="str">
            <v>Repairs &amp; Maintainence</v>
          </cell>
          <cell r="C792">
            <v>1873242.8</v>
          </cell>
        </row>
        <row r="793">
          <cell r="A793" t="str">
            <v>Sales</v>
          </cell>
        </row>
        <row r="794">
          <cell r="A794" t="str">
            <v>Sales</v>
          </cell>
          <cell r="C794">
            <v>-831309314.19999993</v>
          </cell>
        </row>
        <row r="795">
          <cell r="A795" t="str">
            <v>Stock Adjustments</v>
          </cell>
        </row>
        <row r="796">
          <cell r="A796" t="str">
            <v>Stock Adjustments</v>
          </cell>
          <cell r="C796">
            <v>-4614830.04</v>
          </cell>
        </row>
        <row r="797">
          <cell r="A797" t="str">
            <v>Travelling</v>
          </cell>
        </row>
        <row r="798">
          <cell r="A798" t="str">
            <v>Travelling</v>
          </cell>
          <cell r="C798">
            <v>6331636.5899999989</v>
          </cell>
        </row>
        <row r="799">
          <cell r="C799">
            <v>-638424857.40999997</v>
          </cell>
        </row>
        <row r="800">
          <cell r="C800">
            <v>-92794475.75</v>
          </cell>
        </row>
        <row r="801">
          <cell r="C801">
            <v>-731219333.15999997</v>
          </cell>
        </row>
        <row r="802">
          <cell r="C802">
            <v>-100089981.04000001</v>
          </cell>
        </row>
        <row r="804">
          <cell r="C804">
            <v>-38056552.450000003</v>
          </cell>
        </row>
        <row r="805">
          <cell r="C805">
            <v>-3492188.46</v>
          </cell>
        </row>
        <row r="806">
          <cell r="C806">
            <v>-2664523.33</v>
          </cell>
        </row>
        <row r="807">
          <cell r="C807">
            <v>-3614661.21</v>
          </cell>
        </row>
        <row r="808">
          <cell r="C808">
            <v>-63443.08</v>
          </cell>
        </row>
        <row r="809">
          <cell r="C809">
            <v>-9602648.6600000001</v>
          </cell>
        </row>
        <row r="811">
          <cell r="C811">
            <v>-384459592.77999997</v>
          </cell>
        </row>
        <row r="812">
          <cell r="C812">
            <v>-309160446.94</v>
          </cell>
        </row>
        <row r="813">
          <cell r="C813">
            <v>-967548.68</v>
          </cell>
        </row>
      </sheetData>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 val="Total MG "/>
      <sheetName val="AP_RA99-061"/>
      <sheetName val="HV_RA99-061"/>
      <sheetName val="IN_RA99-061"/>
      <sheetName val="CH_RA99-061"/>
      <sheetName val="TH_RA99-061"/>
      <sheetName val="HZ_RA99-061"/>
      <sheetName val="Total_MG_1"/>
      <sheetName val="AP_RA99-06"/>
      <sheetName val="HV_RA99-06"/>
      <sheetName val="IN_RA99-06"/>
      <sheetName val="CH_RA99-06"/>
      <sheetName val="TH_RA99-06"/>
      <sheetName val="HZ_RA99-06"/>
      <sheetName val="Total_MG_"/>
      <sheetName val="AP_RA99-062"/>
      <sheetName val="HV_RA99-062"/>
      <sheetName val="IN_RA99-062"/>
      <sheetName val="CH_RA99-062"/>
      <sheetName val="TH_RA99-062"/>
      <sheetName val="HZ_RA99-062"/>
      <sheetName val="Total_MG_2"/>
      <sheetName val="consolidated Budget"/>
      <sheetName val="Sheet1"/>
      <sheetName val="MAPPINGS"/>
      <sheetName val="RES"/>
      <sheetName val="Params"/>
      <sheetName val="Masters"/>
      <sheetName val="Price Testing - Used - 1"/>
      <sheetName val="Price_Testing_-_Used_-_11"/>
      <sheetName val="Price_Testing_-_Used_-_1"/>
      <sheetName val="Rates"/>
      <sheetName val="COA-IPCL"/>
      <sheetName val="TB"/>
      <sheetName val="Schedule"/>
      <sheetName val="Chart of Accounts"/>
      <sheetName val="Op Plan Sales"/>
      <sheetName val="M B-QtyRecn"/>
      <sheetName val="India"/>
      <sheetName val="BAL96-97"/>
      <sheetName val="Other notes"/>
      <sheetName val="MAIN"/>
      <sheetName val="IOPlan"/>
      <sheetName val="Lists"/>
      <sheetName val="Consol"/>
      <sheetName val="IT Only"/>
      <sheetName val="Sales &amp; Marketing Dashboard"/>
      <sheetName val="LIC"/>
      <sheetName val="PropertyList"/>
      <sheetName val="IT-accruals"/>
      <sheetName val="Input schedule"/>
      <sheetName val="TPM Tot"/>
      <sheetName val="StdMarginRegQtr"/>
      <sheetName val="Sept '99"/>
      <sheetName val="Trial Balance"/>
      <sheetName val="Control"/>
      <sheetName val="Op_Plan_Sales"/>
      <sheetName val="M_B-QtyRecn"/>
      <sheetName val="FBT Full"/>
      <sheetName val="Comp"/>
      <sheetName val="Risco-Accts"/>
      <sheetName val="Payroll_Statement"/>
      <sheetName val="Cash Flow.7"/>
      <sheetName val="Rollup_Summary"/>
      <sheetName val="Op_Plan_Sales1"/>
      <sheetName val="IT_Only"/>
      <sheetName val="Annexure"/>
      <sheetName val="New form 3CD A"/>
      <sheetName val="All Data"/>
      <sheetName val="POFG"/>
      <sheetName val="未着品BALANCE"/>
      <sheetName val="データシート"/>
      <sheetName val="3 Yr Revenue Analysis(old)"/>
      <sheetName val="List"/>
      <sheetName val="Opening Balance"/>
      <sheetName val="Jodalli-P&amp;L"/>
      <sheetName val="Graphdata"/>
      <sheetName val="Macro1"/>
      <sheetName val="Other"/>
      <sheetName val="Summary"/>
      <sheetName val="Categ"/>
      <sheetName val="Amortization Table"/>
      <sheetName val="riola don't know 9-26-99"/>
      <sheetName val="Spiltrates-Latest"/>
      <sheetName val="Travel Expense Report(1week)"/>
      <sheetName val="CRITERIA1"/>
      <sheetName val=""/>
      <sheetName val="d"/>
      <sheetName val="5Y_v2.14"/>
      <sheetName val="Cover"/>
      <sheetName val="Consolidated"/>
      <sheetName val="BAL0301"/>
      <sheetName val="Rate_dec02"/>
      <sheetName val="Push Diag on Premise"/>
      <sheetName val="CChannel Attract Input"/>
      <sheetName val="FStratPlan"/>
      <sheetName val="BS"/>
      <sheetName val="Aseet1998"/>
      <sheetName val="Assum"/>
      <sheetName val="VARFCST"/>
      <sheetName val="Trial_Balance"/>
      <sheetName val="Sales_&amp;_Marketing_Dashboard"/>
      <sheetName val="Input_schedule"/>
      <sheetName val="TPM_Tot"/>
      <sheetName val="Sept_'99"/>
      <sheetName val="EXPENSES"/>
      <sheetName val="Op_Plan_Sales2"/>
      <sheetName val="IT_Only1"/>
      <sheetName val="FINAL SHEET"/>
      <sheetName val="Results"/>
      <sheetName val="Main-Material"/>
      <sheetName val="MR08' Cost Manag"/>
      <sheetName val="List_ratios"/>
      <sheetName val="IS"/>
      <sheetName val="May 09"/>
      <sheetName val="Page1"/>
      <sheetName val="Wavg RM"/>
      <sheetName val="COV"/>
      <sheetName val="exp-m"/>
      <sheetName val="PAP"/>
      <sheetName val="Keyratios"/>
      <sheetName val="Facility"/>
      <sheetName val="P L"/>
      <sheetName val="1 - A (Narrative)"/>
      <sheetName val="Notes"/>
      <sheetName val="Cash Flows"/>
      <sheetName val="Val &amp; Multp"/>
      <sheetName val="Options"/>
      <sheetName val="Heating Div"/>
      <sheetName val="All other Div's"/>
      <sheetName val="CoCapital"/>
      <sheetName val="EPS"/>
      <sheetName val="Mult"/>
      <sheetName val="Synergies"/>
      <sheetName val="Mkt Mult"/>
      <sheetName val="Trans Mult"/>
      <sheetName val="Module1"/>
      <sheetName val="Project Resource Details"/>
      <sheetName val="Assets"/>
      <sheetName val="CLP_Value_Driver (14) Dec Old"/>
      <sheetName val="Other_notes"/>
      <sheetName val="M_B-QtyRecn1"/>
      <sheetName val="FBT_Full"/>
      <sheetName val="Chart_of_Accounts"/>
      <sheetName val="consolidated_Budget"/>
      <sheetName val="Other_notes1"/>
      <sheetName val="M_B-QtyRecn2"/>
      <sheetName val="Sales_&amp;_Marketing_Dashboard1"/>
      <sheetName val="Trial_Balance1"/>
      <sheetName val="Input_schedule1"/>
      <sheetName val="TPM_Tot1"/>
      <sheetName val="Sept_'991"/>
      <sheetName val="FBT_Full1"/>
      <sheetName val="Chart_of_Accounts1"/>
      <sheetName val="consolidated_Budget1"/>
      <sheetName val="AP_RA99-063"/>
      <sheetName val="HV_RA99-063"/>
      <sheetName val="IN_RA99-063"/>
      <sheetName val="CH_RA99-063"/>
      <sheetName val="TH_RA99-063"/>
      <sheetName val="HZ_RA99-063"/>
      <sheetName val="Op_Plan_Sales3"/>
      <sheetName val="Other_notes2"/>
      <sheetName val="M_B-QtyRecn3"/>
      <sheetName val="IT_Only2"/>
      <sheetName val="Sales_&amp;_Marketing_Dashboard2"/>
      <sheetName val="Trial_Balance2"/>
      <sheetName val="Input_schedule2"/>
      <sheetName val="TPM_Tot2"/>
      <sheetName val="Sept_'992"/>
      <sheetName val="FBT_Full2"/>
      <sheetName val="Chart_of_Accounts2"/>
      <sheetName val="consolidated_Budget2"/>
      <sheetName val="AP_RA99-064"/>
      <sheetName val="HV_RA99-064"/>
      <sheetName val="IN_RA99-064"/>
      <sheetName val="CH_RA99-064"/>
      <sheetName val="TH_RA99-064"/>
      <sheetName val="HZ_RA99-064"/>
      <sheetName val="Op_Plan_Sales4"/>
      <sheetName val="Other_notes3"/>
      <sheetName val="M_B-QtyRecn4"/>
      <sheetName val="IT_Only3"/>
      <sheetName val="Sales_&amp;_Marketing_Dashboard3"/>
      <sheetName val="Total_MG_3"/>
      <sheetName val="Trial_Balance3"/>
      <sheetName val="Input_schedule3"/>
      <sheetName val="TPM_Tot3"/>
      <sheetName val="Sept_'993"/>
      <sheetName val="FBT_Full3"/>
      <sheetName val="Chart_of_Accounts3"/>
      <sheetName val="consolidated_Budget3"/>
      <sheetName val="5Y_v2_14"/>
      <sheetName val="Price_Testing_-_Used_-_12"/>
      <sheetName val="Push_Diag_on_Premise"/>
      <sheetName val="CChannel_Attract_Input"/>
      <sheetName val="Cash_Flow_7"/>
      <sheetName val="Opening_Balance"/>
      <sheetName val="AP_RA99-065"/>
      <sheetName val="HV_RA99-065"/>
      <sheetName val="IN_RA99-065"/>
      <sheetName val="CH_RA99-065"/>
      <sheetName val="TH_RA99-065"/>
      <sheetName val="HZ_RA99-065"/>
      <sheetName val="Op_Plan_Sales5"/>
      <sheetName val="Other_notes4"/>
      <sheetName val="M_B-QtyRecn5"/>
      <sheetName val="IT_Only4"/>
      <sheetName val="Sales_&amp;_Marketing_Dashboard4"/>
      <sheetName val="Total_MG_4"/>
      <sheetName val="Trial_Balance4"/>
      <sheetName val="Input_schedule4"/>
      <sheetName val="TPM_Tot4"/>
      <sheetName val="Sept_'994"/>
      <sheetName val="FBT_Full4"/>
      <sheetName val="Chart_of_Accounts4"/>
      <sheetName val="consolidated_Budget4"/>
      <sheetName val="5Y_v2_141"/>
      <sheetName val="Price_Testing_-_Used_-_13"/>
      <sheetName val="Push_Diag_on_Premise1"/>
      <sheetName val="CChannel_Attract_Input1"/>
      <sheetName val="Cash_Flow_71"/>
      <sheetName val="Opening_Balance1"/>
      <sheetName val="AP_RA99-067"/>
      <sheetName val="HV_RA99-067"/>
      <sheetName val="IN_RA99-067"/>
      <sheetName val="CH_RA99-067"/>
      <sheetName val="TH_RA99-067"/>
      <sheetName val="HZ_RA99-067"/>
      <sheetName val="Op_Plan_Sales7"/>
      <sheetName val="Other_notes6"/>
      <sheetName val="M_B-QtyRecn7"/>
      <sheetName val="IT_Only6"/>
      <sheetName val="Sales_&amp;_Marketing_Dashboard6"/>
      <sheetName val="Total_MG_6"/>
      <sheetName val="Trial_Balance6"/>
      <sheetName val="Input_schedule6"/>
      <sheetName val="TPM_Tot6"/>
      <sheetName val="Sept_'996"/>
      <sheetName val="FBT_Full6"/>
      <sheetName val="Chart_of_Accounts6"/>
      <sheetName val="consolidated_Budget6"/>
      <sheetName val="5Y_v2_143"/>
      <sheetName val="Price_Testing_-_Used_-_15"/>
      <sheetName val="Push_Diag_on_Premise3"/>
      <sheetName val="CChannel_Attract_Input3"/>
      <sheetName val="Cash_Flow_73"/>
      <sheetName val="Opening_Balance3"/>
      <sheetName val="AP_RA99-066"/>
      <sheetName val="HV_RA99-066"/>
      <sheetName val="IN_RA99-066"/>
      <sheetName val="CH_RA99-066"/>
      <sheetName val="TH_RA99-066"/>
      <sheetName val="HZ_RA99-066"/>
      <sheetName val="Op_Plan_Sales6"/>
      <sheetName val="Other_notes5"/>
      <sheetName val="M_B-QtyRecn6"/>
      <sheetName val="IT_Only5"/>
      <sheetName val="Sales_&amp;_Marketing_Dashboard5"/>
      <sheetName val="Total_MG_5"/>
      <sheetName val="Trial_Balance5"/>
      <sheetName val="Input_schedule5"/>
      <sheetName val="TPM_Tot5"/>
      <sheetName val="Sept_'995"/>
      <sheetName val="FBT_Full5"/>
      <sheetName val="Chart_of_Accounts5"/>
      <sheetName val="consolidated_Budget5"/>
      <sheetName val="5Y_v2_142"/>
      <sheetName val="Price_Testing_-_Used_-_14"/>
      <sheetName val="Push_Diag_on_Premise2"/>
      <sheetName val="CChannel_Attract_Input2"/>
      <sheetName val="Cash_Flow_72"/>
      <sheetName val="Opening_Balance2"/>
      <sheetName val="AP_RA99-068"/>
      <sheetName val="HV_RA99-068"/>
      <sheetName val="IN_RA99-068"/>
      <sheetName val="CH_RA99-068"/>
      <sheetName val="TH_RA99-068"/>
      <sheetName val="HZ_RA99-068"/>
      <sheetName val="Op_Plan_Sales8"/>
      <sheetName val="Other_notes7"/>
      <sheetName val="M_B-QtyRecn8"/>
      <sheetName val="IT_Only7"/>
      <sheetName val="Sales_&amp;_Marketing_Dashboard7"/>
      <sheetName val="Total_MG_7"/>
      <sheetName val="Trial_Balance7"/>
      <sheetName val="Input_schedule7"/>
      <sheetName val="TPM_Tot7"/>
      <sheetName val="Sept_'997"/>
      <sheetName val="FBT_Full7"/>
      <sheetName val="Chart_of_Accounts7"/>
      <sheetName val="consolidated_Budget7"/>
      <sheetName val="5Y_v2_144"/>
      <sheetName val="Price_Testing_-_Used_-_16"/>
      <sheetName val="Push_Diag_on_Premise4"/>
      <sheetName val="CChannel_Attract_Input4"/>
      <sheetName val="Cash_Flow_74"/>
      <sheetName val="Opening_Balance4"/>
      <sheetName val="AP_RA99-069"/>
      <sheetName val="HV_RA99-069"/>
      <sheetName val="IN_RA99-069"/>
      <sheetName val="CH_RA99-069"/>
      <sheetName val="TH_RA99-069"/>
      <sheetName val="HZ_RA99-069"/>
      <sheetName val="Op_Plan_Sales9"/>
      <sheetName val="Other_notes8"/>
      <sheetName val="M_B-QtyRecn9"/>
      <sheetName val="IT_Only8"/>
      <sheetName val="Sales_&amp;_Marketing_Dashboard8"/>
      <sheetName val="Total_MG_8"/>
      <sheetName val="Trial_Balance8"/>
      <sheetName val="Input_schedule8"/>
      <sheetName val="TPM_Tot8"/>
      <sheetName val="Sept_'998"/>
      <sheetName val="FBT_Full8"/>
      <sheetName val="Chart_of_Accounts8"/>
      <sheetName val="consolidated_Budget8"/>
      <sheetName val="5Y_v2_145"/>
      <sheetName val="Price_Testing_-_Used_-_17"/>
      <sheetName val="Push_Diag_on_Premise5"/>
      <sheetName val="CChannel_Attract_Input5"/>
      <sheetName val="Cash_Flow_75"/>
      <sheetName val="Opening_Balance5"/>
      <sheetName val="AP_RA99-0610"/>
      <sheetName val="HV_RA99-0610"/>
      <sheetName val="IN_RA99-0610"/>
      <sheetName val="CH_RA99-0610"/>
      <sheetName val="TH_RA99-0610"/>
      <sheetName val="HZ_RA99-0610"/>
      <sheetName val="Op_Plan_Sales10"/>
      <sheetName val="Other_notes9"/>
      <sheetName val="M_B-QtyRecn10"/>
      <sheetName val="IT_Only9"/>
      <sheetName val="Sales_&amp;_Marketing_Dashboard9"/>
      <sheetName val="Total_MG_9"/>
      <sheetName val="Trial_Balance9"/>
      <sheetName val="Input_schedule9"/>
      <sheetName val="TPM_Tot9"/>
      <sheetName val="Sept_'999"/>
      <sheetName val="FBT_Full9"/>
      <sheetName val="Chart_of_Accounts9"/>
      <sheetName val="consolidated_Budget9"/>
      <sheetName val="5Y_v2_146"/>
      <sheetName val="Price_Testing_-_Used_-_18"/>
      <sheetName val="Push_Diag_on_Premise6"/>
      <sheetName val="CChannel_Attract_Input6"/>
      <sheetName val="Cash_Flow_76"/>
      <sheetName val="Opening_Balance6"/>
      <sheetName val="Rev"/>
      <sheetName val="Input Screen"/>
      <sheetName val="TB Round"/>
      <sheetName val="Cash Flow-WSL Base Fcst"/>
      <sheetName val="Sales &amp;Sale Cost"/>
      <sheetName val=".2 Reserve"/>
      <sheetName val="Maint Def Rev 03-04"/>
      <sheetName val="New-Growth Def Rev 03-04"/>
      <sheetName val="Perpetual Def Rev 03-04"/>
      <sheetName val="Renewal Def Rev 03-04"/>
      <sheetName val="ENCL6"/>
      <sheetName val="2003"/>
      <sheetName val="Grouping TB"/>
      <sheetName val="working"/>
      <sheetName val="AP_RA99-0611"/>
      <sheetName val="HV_RA99-0611"/>
      <sheetName val="IN_RA99-0611"/>
      <sheetName val="CH_RA99-0611"/>
      <sheetName val="TH_RA99-0611"/>
      <sheetName val="HZ_RA99-0611"/>
      <sheetName val="Op_Plan_Sales11"/>
      <sheetName val="Other_notes10"/>
      <sheetName val="M_B-QtyRecn11"/>
      <sheetName val="IT_Only10"/>
      <sheetName val="Sales_&amp;_Marketing_Dashboard10"/>
      <sheetName val="Total_MG_10"/>
      <sheetName val="Trial_Balance10"/>
      <sheetName val="Input_schedule10"/>
      <sheetName val="TPM_Tot10"/>
      <sheetName val="Sept_'9910"/>
      <sheetName val="FBT_Full10"/>
      <sheetName val="Chart_of_Accounts10"/>
      <sheetName val="consolidated_Budget10"/>
      <sheetName val="5Y_v2_147"/>
      <sheetName val="Price_Testing_-_Used_-_19"/>
      <sheetName val="Push_Diag_on_Premise7"/>
      <sheetName val="CChannel_Attract_Input7"/>
      <sheetName val="Cash_Flow_77"/>
      <sheetName val="Opening_Balance7"/>
      <sheetName val="Reference"/>
      <sheetName val="Balancesheet"/>
      <sheetName val="61750000 Consultancy Charges"/>
      <sheetName val="YTD"/>
      <sheetName val="Labour &amp; Plant"/>
      <sheetName val="Annexure B"/>
      <sheetName val="Res_Area"/>
      <sheetName val="Intro"/>
      <sheetName val="Staff"/>
      <sheetName val="IT_FBT_DDTP"/>
      <sheetName val="NLD - Assum"/>
      <sheetName val="Challan"/>
      <sheetName val="AP_RA99-0612"/>
      <sheetName val="HV_RA99-0612"/>
      <sheetName val="IN_RA99-0612"/>
      <sheetName val="CH_RA99-0612"/>
      <sheetName val="TH_RA99-0612"/>
      <sheetName val="HZ_RA99-0612"/>
      <sheetName val="Op_Plan_Sales12"/>
      <sheetName val="Other_notes11"/>
      <sheetName val="M_B-QtyRecn12"/>
      <sheetName val="IT_Only11"/>
      <sheetName val="Sales_&amp;_Marketing_Dashboard11"/>
      <sheetName val="Total_MG_11"/>
      <sheetName val="Trial_Balance11"/>
      <sheetName val="Input_schedule11"/>
      <sheetName val="TPM_Tot11"/>
      <sheetName val="Sept_'9911"/>
      <sheetName val="FBT_Full11"/>
      <sheetName val="Chart_of_Accounts11"/>
      <sheetName val="consolidated_Budget11"/>
      <sheetName val="5Y_v2_148"/>
      <sheetName val="Price_Testing_-_Used_-_110"/>
      <sheetName val="Push_Diag_on_Premise8"/>
      <sheetName val="CChannel_Attract_Input8"/>
      <sheetName val="Cash_Flow_78"/>
      <sheetName val="Opening_Balance8"/>
      <sheetName val="12.04.09"/>
      <sheetName val="MORE-MAR'2002"/>
      <sheetName val="SCHE-MARCH'2002"/>
      <sheetName val="Inputs"/>
      <sheetName val="mdd &amp; co Fdr jan.02 "/>
      <sheetName val="MPCP9899"/>
      <sheetName val="B0_111350"/>
      <sheetName val="A"/>
      <sheetName val="Listings 96-02"/>
      <sheetName val="SAP - Rightpak"/>
      <sheetName val="Excess Calc"/>
      <sheetName val="SCH-A"/>
      <sheetName val="Fx Rates"/>
      <sheetName val="AR JAN'02"/>
      <sheetName val="98ordbkg"/>
      <sheetName val="Power Cost sheet"/>
      <sheetName val="Steam Cost Sheet"/>
      <sheetName val="P&amp;L February"/>
      <sheetName val="P&amp;L Feb 2001 cumulative"/>
      <sheetName val="COLUMN"/>
      <sheetName val="PARTY DETAILS"/>
      <sheetName val="Power"/>
      <sheetName val="mar rep rev"/>
      <sheetName val="CF SALE.W.OFF 01-02"/>
      <sheetName val="stock data"/>
      <sheetName val="Turnover"/>
      <sheetName val="Sheet2"/>
      <sheetName val="sept-plan"/>
      <sheetName val="PREFACE"/>
      <sheetName val="12-19-00"/>
      <sheetName val="Rec"/>
      <sheetName val="Links"/>
      <sheetName val="Occ, Other Rev, Exp, Dispo"/>
      <sheetName val="P1 RM"/>
      <sheetName val="5-F-PAR"/>
      <sheetName val="LEGAL GUJ"/>
      <sheetName val="May_09"/>
      <sheetName val="3_Yr_Revenue_Analysis(old)"/>
      <sheetName val="Amortization_Table"/>
      <sheetName val="riola_don't_know_9-26-99"/>
      <sheetName val="New_form_3CD_A"/>
      <sheetName val="All_Data"/>
      <sheetName val="1_-_A_(Narrative)"/>
      <sheetName val="P_L"/>
      <sheetName val="MR08'_Cost_Manag"/>
      <sheetName val="Wavg_RM"/>
      <sheetName val="FINAL_SHEET"/>
      <sheetName val="12_04_09"/>
      <sheetName val="Travel_Expense_Report(1week)"/>
      <sheetName val="NLD_-_Assum"/>
      <sheetName val="PARTY_DETAILS"/>
      <sheetName val="mar_rep_rev"/>
      <sheetName val="CF_SALE_W_OFF_01-02"/>
      <sheetName val="stock_data"/>
      <sheetName val="P&amp;L_February"/>
      <sheetName val="P&amp;L_Feb_2001_cumulative"/>
      <sheetName val="Balance Sheet "/>
      <sheetName val="P&amp;L Summary Page"/>
      <sheetName val="Payslip"/>
      <sheetName val="Axis Bank Cheques"/>
      <sheetName val="Master Sheet"/>
      <sheetName val="RESULTS-BLR-BB"/>
      <sheetName val="TARGET"/>
      <sheetName val="Debtors Ageing"/>
      <sheetName val="PLAN-BLR-BB"/>
      <sheetName val="RESULTS-REALTY"/>
      <sheetName val="SME"/>
      <sheetName val="Region"/>
      <sheetName val="WO-List"/>
      <sheetName val="K-Summary"/>
      <sheetName val="RF2004_vs_OB2004"/>
      <sheetName val="BST"/>
      <sheetName val="Master"/>
      <sheetName val="BS face"/>
      <sheetName val="BS Notes"/>
      <sheetName val="PL face"/>
      <sheetName val="PL Notes"/>
      <sheetName val="CFS"/>
      <sheetName val="Grouping"/>
      <sheetName val="Fixed Assets"/>
      <sheetName val="Deferred tax"/>
      <sheetName val="MAT"/>
      <sheetName val="gp"/>
      <sheetName val="GP Ratio"/>
      <sheetName val="экспорт"/>
      <sheetName val="Transaction Inputs"/>
      <sheetName val="ValuationInput"/>
      <sheetName val="DebtInput"/>
      <sheetName val="Storage"/>
      <sheetName val="Valuation"/>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refreshError="1"/>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Bs"/>
      <sheetName val="p&amp;l"/>
      <sheetName val="SCH-BS"/>
      <sheetName val="SCH-PL"/>
      <sheetName val="sch2"/>
      <sheetName val="sch5"/>
      <sheetName val="sch6"/>
      <sheetName val="Grp-BS"/>
      <sheetName val="Grp-PL"/>
      <sheetName val="Trial"/>
      <sheetName val="Cash Flow"/>
      <sheetName val="Working FY 05"/>
      <sheetName val="sch19"/>
      <sheetName val="segmental"/>
      <sheetName val="Cashflow (2)"/>
      <sheetName val="Cash-WKI"/>
      <sheetName val="Cash_Flow1"/>
      <sheetName val="Working_FY_051"/>
      <sheetName val="Cashflow_(2)1"/>
      <sheetName val="Cash_Flow"/>
      <sheetName val="Working_FY_05"/>
      <sheetName val="Cashflow_(2)"/>
      <sheetName val="Cash_Flow2"/>
      <sheetName val="Working_FY_052"/>
      <sheetName val="Cashflow_(2)2"/>
    </sheetNames>
    <sheetDataSet>
      <sheetData sheetId="0" refreshError="1">
        <row r="2">
          <cell r="N2">
            <v>2</v>
          </cell>
        </row>
        <row r="6">
          <cell r="M6">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tock Records"/>
      <sheetName val="EEFc-new"/>
      <sheetName val="3CD"/>
      <sheetName val="Sheet2"/>
      <sheetName val="TP Margin"/>
      <sheetName val="80IB New"/>
      <sheetName val="EEFc-Pharma"/>
      <sheetName val="BS - 31.03.06"/>
      <sheetName val="L&amp;A"/>
      <sheetName val="Creditors"/>
      <sheetName val="nutra- TB"/>
      <sheetName val="pharma - TB"/>
      <sheetName val="80IB"/>
      <sheetName val="COMP."/>
      <sheetName val="Def. Tax"/>
      <sheetName val="Pending "/>
      <sheetName val="stk sum"/>
      <sheetName val="stock stat Reco"/>
      <sheetName val="valuation  of cl.stk"/>
      <sheetName val="Ratios - tax"/>
      <sheetName val="other asset"/>
      <sheetName val="building"/>
      <sheetName val="amol pharm dep "/>
      <sheetName val="amol nut dep"/>
      <sheetName val="dep-ssi"/>
      <sheetName val="Dep Tax"/>
      <sheetName val="ANNEX I"/>
      <sheetName val="ANEX-II"/>
      <sheetName val="Int"/>
      <sheetName val="ANN-A"/>
      <sheetName val="ANN-B"/>
      <sheetName val="ANN-C"/>
      <sheetName val="ANN-D"/>
      <sheetName val="ANN-E"/>
      <sheetName val=" ANN-G"/>
      <sheetName val="3CEB"/>
      <sheetName val="annexure for  3CEB"/>
      <sheetName val="Export MT"/>
      <sheetName val="ABL IMPORT EXPORT"/>
      <sheetName val="NUTRA TO US "/>
      <sheetName val="PHARMA TO US"/>
      <sheetName val="ratio"/>
      <sheetName val="TP New"/>
      <sheetName val="TP Old"/>
      <sheetName val="Stock_Records1"/>
      <sheetName val="TP_Margin1"/>
      <sheetName val="80IB_New1"/>
      <sheetName val="BS_-_31_03_061"/>
      <sheetName val="nutra-_TB1"/>
      <sheetName val="pharma_-_TB1"/>
      <sheetName val="COMP_1"/>
      <sheetName val="Def__Tax1"/>
      <sheetName val="Pending_1"/>
      <sheetName val="stk_sum1"/>
      <sheetName val="stock_stat_Reco1"/>
      <sheetName val="valuation__of_cl_stk1"/>
      <sheetName val="Ratios_-_tax1"/>
      <sheetName val="other_asset1"/>
      <sheetName val="amol_pharm_dep_1"/>
      <sheetName val="amol_nut_dep1"/>
      <sheetName val="Dep_Tax1"/>
      <sheetName val="ANNEX_I1"/>
      <sheetName val="_ANN-G1"/>
      <sheetName val="annexure_for__3CEB1"/>
      <sheetName val="Export_MT1"/>
      <sheetName val="ABL_IMPORT_EXPORT1"/>
      <sheetName val="NUTRA_TO_US_1"/>
      <sheetName val="PHARMA_TO_US1"/>
      <sheetName val="TP_New1"/>
      <sheetName val="TP_Old1"/>
      <sheetName val="Stock_Records"/>
      <sheetName val="TP_Margin"/>
      <sheetName val="80IB_New"/>
      <sheetName val="BS_-_31_03_06"/>
      <sheetName val="nutra-_TB"/>
      <sheetName val="pharma_-_TB"/>
      <sheetName val="COMP_"/>
      <sheetName val="Def__Tax"/>
      <sheetName val="Pending_"/>
      <sheetName val="stk_sum"/>
      <sheetName val="stock_stat_Reco"/>
      <sheetName val="valuation__of_cl_stk"/>
      <sheetName val="Ratios_-_tax"/>
      <sheetName val="other_asset"/>
      <sheetName val="amol_pharm_dep_"/>
      <sheetName val="amol_nut_dep"/>
      <sheetName val="Dep_Tax"/>
      <sheetName val="ANNEX_I"/>
      <sheetName val="_ANN-G"/>
      <sheetName val="annexure_for__3CEB"/>
      <sheetName val="Export_MT"/>
      <sheetName val="ABL_IMPORT_EXPORT"/>
      <sheetName val="NUTRA_TO_US_"/>
      <sheetName val="PHARMA_TO_US"/>
      <sheetName val="TP_New"/>
      <sheetName val="TP_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ept."/>
      <sheetName val="TB"/>
      <sheetName val="BS 2004"/>
      <sheetName val="CLOSING ENTRIES"/>
      <sheetName val="AGEING"/>
      <sheetName val="RATIOS"/>
      <sheetName val="Ratio Analysis"/>
      <sheetName val="COMP."/>
      <sheetName val="Co DEP"/>
      <sheetName val="I.T. DEPN"/>
      <sheetName val="Stock-august"/>
      <sheetName val="Stock"/>
      <sheetName val="CLOSING ENTRIES (2)"/>
      <sheetName val="Def. tax "/>
      <sheetName val="Deferred Tax 1.4.2002"/>
      <sheetName val="Sheet1"/>
      <sheetName val="Stock Records"/>
      <sheetName val="EEFc-new"/>
      <sheetName val="3CD"/>
      <sheetName val="Sheet2"/>
      <sheetName val="TP New"/>
      <sheetName val="TP Old"/>
      <sheetName val="80IB New"/>
      <sheetName val="EEFc-Pharma"/>
      <sheetName val="BS - 31.03.06"/>
      <sheetName val="L&amp;A"/>
      <sheetName val="Creditors"/>
      <sheetName val="nutra- TB"/>
      <sheetName val="pharma - TB"/>
      <sheetName val="80IB"/>
      <sheetName val="Def. Tax"/>
      <sheetName val="Pending "/>
      <sheetName val="stk sum"/>
      <sheetName val="stock stat Reco"/>
      <sheetName val="valuation  of cl.stk"/>
      <sheetName val="Ratios - tax"/>
      <sheetName val="other asset"/>
      <sheetName val="building"/>
      <sheetName val="amol pharm dep "/>
      <sheetName val="amol nut dep"/>
      <sheetName val="dep-ssi"/>
      <sheetName val="Dep Tax"/>
      <sheetName val="ANNEX I"/>
      <sheetName val="ANEX-II"/>
      <sheetName val="Int"/>
      <sheetName val="ANN-A"/>
      <sheetName val="ANN-B"/>
      <sheetName val="ANN-C"/>
      <sheetName val="ANN-D"/>
      <sheetName val="ANN-E"/>
      <sheetName val=" ANN-G"/>
      <sheetName val="3CEB"/>
      <sheetName val="annexure for  3CEB"/>
      <sheetName val="Export MT"/>
      <sheetName val="ABL IMPORT EXPORT"/>
      <sheetName val="NUTRA TO US "/>
      <sheetName val="PHARMA TO US"/>
      <sheetName val="ratio"/>
      <sheetName val="CAR LOAN"/>
      <sheetName val="TDS"/>
      <sheetName val="FBT"/>
      <sheetName val="Annexure II (FBT)"/>
      <sheetName val="COI"/>
      <sheetName val="BS "/>
      <sheetName val="29B"/>
      <sheetName val="SUM"/>
      <sheetName val="TB RR"/>
      <sheetName val="TB HR"/>
      <sheetName val="DEP.CO."/>
      <sheetName val="Dep"/>
      <sheetName val="IT DEP"/>
      <sheetName val="DR"/>
      <sheetName val="DT04"/>
      <sheetName val="DT06"/>
      <sheetName val="ANNEX"/>
      <sheetName val="SALES TAX(VAT)"/>
      <sheetName val="Interest"/>
      <sheetName val="Annex -F"/>
      <sheetName val="Annex -G"/>
      <sheetName val="ANN -H"/>
      <sheetName val="ANN-J"/>
      <sheetName val="Directors"/>
      <sheetName val="Shares"/>
      <sheetName val="ANN-F"/>
      <sheetName val="ANN-I"/>
      <sheetName val="WORKING OF TDS"/>
      <sheetName val="AS 31.3.2003"/>
      <sheetName val="FGR"/>
      <sheetName val="RMR"/>
      <sheetName val="WIP R"/>
      <sheetName val="FG"/>
      <sheetName val="Summary"/>
      <sheetName val="RMV"/>
      <sheetName val="WIPV"/>
      <sheetName val="D"/>
      <sheetName val="JWV"/>
      <sheetName val="JWR"/>
      <sheetName val="S-k"/>
      <sheetName val="bal sheet "/>
      <sheetName val="Prefernece Redm"/>
      <sheetName val="Chanplast"/>
      <sheetName val="Excise"/>
      <sheetName val="CO-DEP"/>
      <sheetName val="pref"/>
      <sheetName val="Corrections"/>
      <sheetName val="Pending"/>
      <sheetName val="analysis "/>
      <sheetName val="TDS Working"/>
      <sheetName val="Excise last year"/>
      <sheetName val="walter and chanvim"/>
      <sheetName val="workin"/>
      <sheetName val="rough"/>
      <sheetName val="(EVL) compens."/>
      <sheetName val="work"/>
      <sheetName val="sch E ( a)"/>
      <sheetName val="working"/>
      <sheetName val="Sheet5"/>
      <sheetName val="TB final (4)"/>
      <sheetName val="COVER PAGE"/>
      <sheetName val="REQ"/>
      <sheetName val="COMPUT"/>
      <sheetName val="B S"/>
      <sheetName val="FIX.ASS"/>
      <sheetName val="QTY "/>
      <sheetName val="AHO DRS"/>
      <sheetName val="3 CA ANNEX."/>
      <sheetName val="3CD ANNEX"/>
      <sheetName val="GROUP"/>
      <sheetName val="page 1 to 5 &amp; 7"/>
      <sheetName val="I.T DEP"/>
      <sheetName val="AS-22"/>
      <sheetName val="Master"/>
      <sheetName val="page 6"/>
      <sheetName val="DRS-180 D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 22 1.4.2002"/>
      <sheetName val="AS 31.3.2003"/>
      <sheetName val="Accounts"/>
      <sheetName val="Suppliers"/>
      <sheetName val="COMP."/>
      <sheetName val="ANNEX H"/>
      <sheetName val="BS&amp;PLA"/>
      <sheetName val="145 A"/>
      <sheetName val="Co - Dep"/>
      <sheetName val="Debit  note"/>
      <sheetName val="Modvat"/>
      <sheetName val="DEP IT"/>
      <sheetName val="costsheet"/>
      <sheetName val="POY Wastage Oil"/>
      <sheetName val="Stock Detail"/>
      <sheetName val="Trading"/>
      <sheetName val="Stock Details"/>
      <sheetName val="Sheet1"/>
      <sheetName val="ELECTRICITY"/>
      <sheetName val="Excise duty"/>
      <sheetName val="ANNEX C"/>
      <sheetName val="General exp."/>
      <sheetName val="fixed assets(0ld)"/>
      <sheetName val="RELIANCE "/>
      <sheetName val="ANNEX I"/>
      <sheetName val="pharma - TB"/>
      <sheetName val="rough"/>
      <sheetName val="AS_22_1_4_20021"/>
      <sheetName val="AS_31_3_20031"/>
      <sheetName val="COMP_1"/>
      <sheetName val="ANNEX_H1"/>
      <sheetName val="145_A1"/>
      <sheetName val="Co_-_Dep1"/>
      <sheetName val="Debit__note1"/>
      <sheetName val="DEP_IT1"/>
      <sheetName val="POY_Wastage_Oil1"/>
      <sheetName val="Stock_Detail1"/>
      <sheetName val="Stock_Details1"/>
      <sheetName val="Excise_duty1"/>
      <sheetName val="ANNEX_C1"/>
      <sheetName val="General_exp_1"/>
      <sheetName val="fixed_assets(0ld)1"/>
      <sheetName val="RELIANCE_1"/>
      <sheetName val="ANNEX_I1"/>
      <sheetName val="pharma_-_TB1"/>
      <sheetName val="AS_22_1_4_2002"/>
      <sheetName val="AS_31_3_2003"/>
      <sheetName val="COMP_"/>
      <sheetName val="ANNEX_H"/>
      <sheetName val="145_A"/>
      <sheetName val="Co_-_Dep"/>
      <sheetName val="Debit__note"/>
      <sheetName val="DEP_IT"/>
      <sheetName val="POY_Wastage_Oil"/>
      <sheetName val="Stock_Detail"/>
      <sheetName val="Stock_Details"/>
      <sheetName val="Excise_duty"/>
      <sheetName val="ANNEX_C"/>
      <sheetName val="General_exp_"/>
      <sheetName val="fixed_assets(0ld)"/>
      <sheetName val="RELIANCE_"/>
      <sheetName val="ANNEX_I"/>
      <sheetName val="pharma_-_TB"/>
      <sheetName val="AS_22_1_4_20022"/>
      <sheetName val="AS_31_3_20032"/>
      <sheetName val="COMP_2"/>
      <sheetName val="ANNEX_H2"/>
      <sheetName val="145_A2"/>
      <sheetName val="Co_-_Dep2"/>
      <sheetName val="Debit__note2"/>
      <sheetName val="DEP_IT2"/>
      <sheetName val="POY_Wastage_Oil2"/>
      <sheetName val="Stock_Detail2"/>
      <sheetName val="Stock_Details2"/>
      <sheetName val="Excise_duty2"/>
      <sheetName val="ANNEX_C2"/>
      <sheetName val="General_exp_2"/>
      <sheetName val="fixed_assets(0ld)2"/>
      <sheetName val="RELIANCE_2"/>
      <sheetName val="ANNEX_I2"/>
      <sheetName val="pharma_-_TB2"/>
    </sheetNames>
    <sheetDataSet>
      <sheetData sheetId="0"/>
      <sheetData sheetId="1"/>
      <sheetData sheetId="2"/>
      <sheetData sheetId="3"/>
      <sheetData sheetId="4"/>
      <sheetData sheetId="5"/>
      <sheetData sheetId="6" refreshError="1">
        <row r="578">
          <cell r="B578" t="str">
            <v>RAMANUJ SYNTHETICS PVT. LTD.</v>
          </cell>
        </row>
        <row r="580">
          <cell r="B580" t="str">
            <v xml:space="preserve">GROUPING OF BALANCE SHEET &amp; PROFIT &amp; LOSS ACCOUNT FOR THE  </v>
          </cell>
        </row>
        <row r="581">
          <cell r="B581" t="str">
            <v>YEAR ENDED 31ST MARCH, 2003</v>
          </cell>
        </row>
        <row r="583">
          <cell r="B583" t="str">
            <v>PARTICULARS</v>
          </cell>
          <cell r="D583" t="str">
            <v>31st March, 2003</v>
          </cell>
          <cell r="E583" t="str">
            <v>31st March, 2002</v>
          </cell>
          <cell r="F583" t="str">
            <v>31st March, 2001</v>
          </cell>
        </row>
        <row r="584">
          <cell r="D584" t="str">
            <v>(Rupees)</v>
          </cell>
          <cell r="E584" t="str">
            <v>(Rupees)</v>
          </cell>
          <cell r="F584" t="str">
            <v>(Rupees)</v>
          </cell>
        </row>
        <row r="586">
          <cell r="B586" t="str">
            <v>CREDITORS FOR EXPENSES</v>
          </cell>
        </row>
        <row r="587">
          <cell r="B587" t="str">
            <v>S.V.Enterprises</v>
          </cell>
          <cell r="D587">
            <v>1789</v>
          </cell>
        </row>
        <row r="588">
          <cell r="B588" t="str">
            <v>Vishwakarma  Electricals</v>
          </cell>
          <cell r="D588">
            <v>1000</v>
          </cell>
          <cell r="E588">
            <v>1050</v>
          </cell>
        </row>
        <row r="589">
          <cell r="B589" t="str">
            <v>Mahesh  Engineering   Works</v>
          </cell>
          <cell r="D589">
            <v>571</v>
          </cell>
          <cell r="E589">
            <v>3083</v>
          </cell>
        </row>
        <row r="590">
          <cell r="B590" t="str">
            <v>Daga Press</v>
          </cell>
          <cell r="D590">
            <v>4416</v>
          </cell>
          <cell r="E590">
            <v>10994</v>
          </cell>
          <cell r="H590" t="str">
            <v>new</v>
          </cell>
        </row>
        <row r="591">
          <cell r="B591" t="str">
            <v>CRP  Control Panel Pvt Ltd</v>
          </cell>
          <cell r="D591">
            <v>80473</v>
          </cell>
        </row>
        <row r="592">
          <cell r="B592" t="str">
            <v>Siemens Ltd</v>
          </cell>
          <cell r="D592">
            <v>42325</v>
          </cell>
          <cell r="E592">
            <v>15715</v>
          </cell>
        </row>
        <row r="593">
          <cell r="B593" t="str">
            <v>Shiv  Transport  Services</v>
          </cell>
          <cell r="E593">
            <v>160800</v>
          </cell>
        </row>
        <row r="594">
          <cell r="B594" t="str">
            <v>Sai Electric Service</v>
          </cell>
          <cell r="E594">
            <v>12200</v>
          </cell>
        </row>
        <row r="595">
          <cell r="B595" t="str">
            <v>Star  Electic  Works</v>
          </cell>
          <cell r="D595">
            <v>3250</v>
          </cell>
        </row>
        <row r="596">
          <cell r="B596" t="str">
            <v>Industrial Spares Co.</v>
          </cell>
          <cell r="D596">
            <v>7140</v>
          </cell>
          <cell r="E596">
            <v>15699</v>
          </cell>
          <cell r="H596" t="str">
            <v>new</v>
          </cell>
        </row>
        <row r="597">
          <cell r="B597" t="str">
            <v>Satya-Shiv Tex-Mech Pvt Ltd</v>
          </cell>
          <cell r="D597">
            <v>3385</v>
          </cell>
        </row>
        <row r="598">
          <cell r="B598" t="str">
            <v>R .K. Corporation</v>
          </cell>
          <cell r="D598">
            <v>32189</v>
          </cell>
          <cell r="E598">
            <v>7729.8</v>
          </cell>
        </row>
        <row r="599">
          <cell r="B599" t="str">
            <v>Rachna Corporation</v>
          </cell>
          <cell r="E599">
            <v>10000</v>
          </cell>
        </row>
        <row r="600">
          <cell r="B600" t="str">
            <v>Panchal Brothers Engg.Works</v>
          </cell>
          <cell r="D600">
            <v>4300</v>
          </cell>
          <cell r="E600">
            <v>8299.84</v>
          </cell>
        </row>
        <row r="601">
          <cell r="B601" t="str">
            <v>Shree  Siddivinayak  Engg</v>
          </cell>
          <cell r="D601">
            <v>6650</v>
          </cell>
          <cell r="E601">
            <v>0</v>
          </cell>
        </row>
        <row r="602">
          <cell r="B602" t="str">
            <v>Shri Jalaram Electronics</v>
          </cell>
          <cell r="D602">
            <v>0</v>
          </cell>
          <cell r="E602">
            <v>4724.8</v>
          </cell>
        </row>
        <row r="603">
          <cell r="B603" t="str">
            <v>Maharashtra Transport Corporation</v>
          </cell>
          <cell r="D603">
            <v>5309</v>
          </cell>
          <cell r="E603">
            <v>5309</v>
          </cell>
        </row>
        <row r="604">
          <cell r="B604" t="str">
            <v>Century  Enterprises</v>
          </cell>
          <cell r="D604">
            <v>1985</v>
          </cell>
          <cell r="E604">
            <v>0</v>
          </cell>
        </row>
        <row r="605">
          <cell r="B605" t="str">
            <v>Dhru  Cars Pvt Ltd</v>
          </cell>
          <cell r="E605">
            <v>0</v>
          </cell>
        </row>
        <row r="606">
          <cell r="B606" t="str">
            <v>R.R.Trade  Link</v>
          </cell>
          <cell r="D606">
            <v>5962</v>
          </cell>
          <cell r="E606">
            <v>0</v>
          </cell>
        </row>
        <row r="607">
          <cell r="B607" t="str">
            <v>Raksha  Enterprise</v>
          </cell>
          <cell r="D607">
            <v>3550</v>
          </cell>
          <cell r="E607">
            <v>0</v>
          </cell>
        </row>
        <row r="608">
          <cell r="B608" t="str">
            <v>Nandlal  Vishwakarma</v>
          </cell>
          <cell r="D608">
            <v>3150</v>
          </cell>
          <cell r="E608">
            <v>0</v>
          </cell>
        </row>
        <row r="609">
          <cell r="B609" t="str">
            <v>Sunera  Industies</v>
          </cell>
          <cell r="D609">
            <v>1025</v>
          </cell>
          <cell r="E609">
            <v>0</v>
          </cell>
        </row>
        <row r="610">
          <cell r="B610" t="str">
            <v>Ashok Electric  Works</v>
          </cell>
          <cell r="D610">
            <v>3015</v>
          </cell>
          <cell r="E610">
            <v>0</v>
          </cell>
        </row>
        <row r="611">
          <cell r="B611" t="str">
            <v>Shrinath  Suppliers</v>
          </cell>
          <cell r="D611">
            <v>1800</v>
          </cell>
          <cell r="E611">
            <v>0</v>
          </cell>
        </row>
        <row r="612">
          <cell r="B612" t="str">
            <v>The  Pnuematic  Spares</v>
          </cell>
          <cell r="D612">
            <v>1040</v>
          </cell>
          <cell r="E612">
            <v>0</v>
          </cell>
        </row>
        <row r="613">
          <cell r="B613" t="str">
            <v>Dol  Electric  Company  Pvt  Ltd</v>
          </cell>
          <cell r="D613">
            <v>34895</v>
          </cell>
          <cell r="E613">
            <v>0</v>
          </cell>
        </row>
        <row r="614">
          <cell r="B614" t="str">
            <v>Shri  Chamunda  Engg  Works</v>
          </cell>
          <cell r="D614">
            <v>800</v>
          </cell>
          <cell r="E614">
            <v>0</v>
          </cell>
        </row>
        <row r="615">
          <cell r="B615" t="str">
            <v>Jyoti  Traders</v>
          </cell>
          <cell r="D615">
            <v>1500</v>
          </cell>
          <cell r="E615">
            <v>0</v>
          </cell>
        </row>
        <row r="616">
          <cell r="B616" t="str">
            <v>Gujrat Industrial Products</v>
          </cell>
          <cell r="D616">
            <v>0</v>
          </cell>
          <cell r="E616">
            <v>5447</v>
          </cell>
        </row>
        <row r="617">
          <cell r="B617" t="str">
            <v>Babu   George</v>
          </cell>
          <cell r="D617">
            <v>41000</v>
          </cell>
          <cell r="E617">
            <v>98782</v>
          </cell>
        </row>
        <row r="622">
          <cell r="B622" t="str">
            <v>Ajmera &amp; Associates</v>
          </cell>
          <cell r="E622">
            <v>0</v>
          </cell>
          <cell r="F622">
            <v>2829</v>
          </cell>
        </row>
        <row r="623">
          <cell r="B623" t="str">
            <v>Texmach Marketing</v>
          </cell>
          <cell r="E623">
            <v>0</v>
          </cell>
          <cell r="F623">
            <v>2368</v>
          </cell>
        </row>
        <row r="624">
          <cell r="B624" t="str">
            <v>CRP Control Panels Pvt. Ltd.</v>
          </cell>
          <cell r="D624">
            <v>0</v>
          </cell>
        </row>
        <row r="625">
          <cell r="B625" t="str">
            <v>Panchal Brothers Engineering</v>
          </cell>
          <cell r="D625">
            <v>0</v>
          </cell>
        </row>
        <row r="626">
          <cell r="B626" t="str">
            <v>Ashok Electric works</v>
          </cell>
          <cell r="D626">
            <v>0</v>
          </cell>
        </row>
        <row r="627">
          <cell r="B627" t="str">
            <v>Om Clearing Agency</v>
          </cell>
          <cell r="D627">
            <v>0</v>
          </cell>
        </row>
        <row r="628">
          <cell r="B628" t="str">
            <v>Om Elecfronics</v>
          </cell>
          <cell r="D628">
            <v>0</v>
          </cell>
        </row>
        <row r="629">
          <cell r="B629" t="str">
            <v>Omkar Engineers</v>
          </cell>
          <cell r="D629">
            <v>0</v>
          </cell>
        </row>
        <row r="630">
          <cell r="B630" t="str">
            <v>Century Enterprises</v>
          </cell>
          <cell r="D630">
            <v>0</v>
          </cell>
        </row>
        <row r="631">
          <cell r="B631" t="str">
            <v>Cool Line</v>
          </cell>
          <cell r="D631">
            <v>0</v>
          </cell>
          <cell r="E631">
            <v>0</v>
          </cell>
          <cell r="F631">
            <v>9000</v>
          </cell>
        </row>
        <row r="632">
          <cell r="B632" t="str">
            <v>Omkar Industries</v>
          </cell>
          <cell r="D632">
            <v>0</v>
          </cell>
        </row>
        <row r="633">
          <cell r="B633" t="str">
            <v>Satya Shiv Tex Mach  Pvt ltd</v>
          </cell>
          <cell r="D633">
            <v>0</v>
          </cell>
          <cell r="E633">
            <v>0</v>
          </cell>
          <cell r="F633">
            <v>2130</v>
          </cell>
        </row>
        <row r="634">
          <cell r="B634" t="str">
            <v>Dhru Car Pvt. Ltd,</v>
          </cell>
          <cell r="D634">
            <v>0</v>
          </cell>
        </row>
        <row r="635">
          <cell r="B635" t="str">
            <v>R.R. Trade Link</v>
          </cell>
          <cell r="D635">
            <v>0</v>
          </cell>
        </row>
        <row r="636">
          <cell r="B636" t="str">
            <v>Jayantilal Bhaganji Khaliya</v>
          </cell>
          <cell r="D636">
            <v>0</v>
          </cell>
        </row>
        <row r="637">
          <cell r="B637" t="str">
            <v>Rasksha Enterprises</v>
          </cell>
          <cell r="D637">
            <v>0</v>
          </cell>
        </row>
        <row r="638">
          <cell r="B638" t="str">
            <v>Nandlal Vishwakarma</v>
          </cell>
          <cell r="D638">
            <v>0</v>
          </cell>
        </row>
        <row r="639">
          <cell r="B639" t="str">
            <v>Utility Services</v>
          </cell>
          <cell r="D639">
            <v>0</v>
          </cell>
        </row>
        <row r="640">
          <cell r="B640" t="str">
            <v>Siddhi Engineers</v>
          </cell>
          <cell r="D640">
            <v>0</v>
          </cell>
        </row>
        <row r="641">
          <cell r="B641" t="str">
            <v>Sunera  Industries</v>
          </cell>
          <cell r="D641">
            <v>0</v>
          </cell>
        </row>
        <row r="642">
          <cell r="B642" t="str">
            <v>Shree Suppliers</v>
          </cell>
          <cell r="D642">
            <v>0</v>
          </cell>
        </row>
        <row r="643">
          <cell r="B643" t="str">
            <v>Aafloat Textiles (India) Pvt. Ltd.</v>
          </cell>
          <cell r="D643">
            <v>0</v>
          </cell>
        </row>
        <row r="644">
          <cell r="B644" t="str">
            <v>Ahmed Raza Traders</v>
          </cell>
          <cell r="D644">
            <v>0</v>
          </cell>
        </row>
        <row r="645">
          <cell r="B645" t="str">
            <v>Kinal Tex</v>
          </cell>
          <cell r="D645">
            <v>0</v>
          </cell>
        </row>
        <row r="646">
          <cell r="B646" t="str">
            <v>Modern Petrofiles</v>
          </cell>
          <cell r="D646">
            <v>0</v>
          </cell>
        </row>
        <row r="647">
          <cell r="B647" t="str">
            <v>Shree Shyam Impex</v>
          </cell>
          <cell r="D647">
            <v>0</v>
          </cell>
        </row>
        <row r="648">
          <cell r="B648" t="str">
            <v>Babbu Packageing Enterprises</v>
          </cell>
          <cell r="D648">
            <v>0</v>
          </cell>
        </row>
        <row r="649">
          <cell r="B649" t="str">
            <v>The Pnuematic Spares</v>
          </cell>
          <cell r="D649">
            <v>0</v>
          </cell>
        </row>
        <row r="650">
          <cell r="B650" t="str">
            <v>Without Name</v>
          </cell>
          <cell r="D650">
            <v>0</v>
          </cell>
        </row>
        <row r="651">
          <cell r="B651" t="str">
            <v>Dol Electronic CO.</v>
          </cell>
          <cell r="D651">
            <v>0</v>
          </cell>
        </row>
        <row r="652">
          <cell r="B652" t="str">
            <v>Walter &amp; Associates</v>
          </cell>
        </row>
        <row r="653">
          <cell r="B653" t="str">
            <v>S.V. Enterprises</v>
          </cell>
          <cell r="D653">
            <v>0</v>
          </cell>
        </row>
        <row r="654">
          <cell r="B654" t="str">
            <v>HM Infotech Pvt Ltd</v>
          </cell>
          <cell r="E654">
            <v>0</v>
          </cell>
          <cell r="F654">
            <v>35000</v>
          </cell>
        </row>
        <row r="655">
          <cell r="B655" t="str">
            <v>J. D. Lubricants Pvt Ltd.</v>
          </cell>
          <cell r="E655">
            <v>0</v>
          </cell>
          <cell r="F655">
            <v>24975</v>
          </cell>
        </row>
        <row r="656">
          <cell r="B656" t="str">
            <v>Polycell Corporation</v>
          </cell>
          <cell r="E656">
            <v>0</v>
          </cell>
          <cell r="F656">
            <v>3148</v>
          </cell>
        </row>
        <row r="657">
          <cell r="B657" t="str">
            <v>Star Electric Works</v>
          </cell>
          <cell r="D657">
            <v>0</v>
          </cell>
          <cell r="E657">
            <v>0</v>
          </cell>
          <cell r="F657">
            <v>3070</v>
          </cell>
        </row>
        <row r="658">
          <cell r="B658" t="str">
            <v xml:space="preserve">Shree Sidhvinayak </v>
          </cell>
          <cell r="D658">
            <v>0</v>
          </cell>
        </row>
        <row r="659">
          <cell r="B659" t="str">
            <v>Walter &amp; Associates</v>
          </cell>
          <cell r="D659">
            <v>0</v>
          </cell>
        </row>
        <row r="660">
          <cell r="B660" t="str">
            <v>S.S Electricals</v>
          </cell>
          <cell r="E660">
            <v>0</v>
          </cell>
          <cell r="F660">
            <v>1100</v>
          </cell>
        </row>
        <row r="661">
          <cell r="B661" t="str">
            <v>Walter &amp; Associates</v>
          </cell>
          <cell r="D661">
            <v>3742</v>
          </cell>
          <cell r="E661">
            <v>2847</v>
          </cell>
        </row>
        <row r="662">
          <cell r="B662" t="str">
            <v>Outstanding Expenses</v>
          </cell>
          <cell r="D662">
            <v>246007</v>
          </cell>
          <cell r="E662">
            <v>1619707</v>
          </cell>
        </row>
        <row r="664">
          <cell r="B664" t="str">
            <v>TOTAL</v>
          </cell>
          <cell r="D664">
            <v>542268</v>
          </cell>
          <cell r="E664">
            <v>1982387.44</v>
          </cell>
          <cell r="F664">
            <v>83620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sch_51"/>
      <sheetName val="_BS-sch_1-41"/>
      <sheetName val="BS-sch_6_&amp;_71"/>
      <sheetName val="BS-sch_8_&amp;_91"/>
      <sheetName val="PL-sch_10,_11_&amp;_121"/>
      <sheetName val="PL-sch_13,_14_&amp;_151"/>
      <sheetName val="GP_Margin1"/>
      <sheetName val="TRIAL_BALANCE1"/>
      <sheetName val="Clause_12_(b)1"/>
      <sheetName val="sch_5"/>
      <sheetName val="_BS-sch_1-4"/>
      <sheetName val="BS-sch_6_&amp;_7"/>
      <sheetName val="BS-sch_8_&amp;_9"/>
      <sheetName val="PL-sch_10,_11_&amp;_12"/>
      <sheetName val="PL-sch_13,_14_&amp;_15"/>
      <sheetName val="GP_Margin"/>
      <sheetName val="TRIAL_BALANCE"/>
      <sheetName val="Clause_12_(b)"/>
      <sheetName val="sch_52"/>
      <sheetName val="_BS-sch_1-42"/>
      <sheetName val="BS-sch_6_&amp;_72"/>
      <sheetName val="BS-sch_8_&amp;_92"/>
      <sheetName val="PL-sch_10,_11_&amp;_122"/>
      <sheetName val="PL-sch_13,_14_&amp;_152"/>
      <sheetName val="GP_Margin2"/>
      <sheetName val="TRIAL_BALANCE2"/>
      <sheetName val="Clause_12_(b)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ding"/>
      <sheetName val="Directors Remuneration"/>
      <sheetName val="DT"/>
      <sheetName val="Final TB"/>
      <sheetName val="Br TB (2)"/>
      <sheetName val="COI"/>
      <sheetName val="Projected TB"/>
      <sheetName val="Branch TB"/>
      <sheetName val="Branch"/>
      <sheetName val="DR"/>
      <sheetName val="Ann A"/>
      <sheetName val="Ann.-B&amp;E"/>
      <sheetName val="Ann.-C"/>
      <sheetName val="Ann.-D"/>
      <sheetName val="Ann-F"/>
      <sheetName val="Ann.-G"/>
      <sheetName val="Ann.-H"/>
      <sheetName val="Ann.-I"/>
      <sheetName val="Statement"/>
      <sheetName val="Interest Accrued"/>
      <sheetName val="Sheet1"/>
      <sheetName val="Unsecured Loan"/>
      <sheetName val="TDS"/>
      <sheetName val="Dr Age"/>
      <sheetName val="Ann.-J"/>
      <sheetName val="Value"/>
      <sheetName val="Analysis"/>
      <sheetName val="3CD "/>
      <sheetName val="Pending m12"/>
      <sheetName val="Deposit &amp; exp electricity"/>
      <sheetName val="BS"/>
      <sheetName val="BS REV SHD"/>
      <sheetName val="Sheet2"/>
      <sheetName val="Dep"/>
    </sheetNames>
    <sheetDataSet>
      <sheetData sheetId="0"/>
      <sheetData sheetId="1"/>
      <sheetData sheetId="2"/>
      <sheetData sheetId="3"/>
      <sheetData sheetId="4"/>
      <sheetData sheetId="5">
        <row r="76">
          <cell r="C76" t="str">
            <v>Interest  u/s 234A, 234B  &amp;  234C</v>
          </cell>
        </row>
        <row r="77">
          <cell r="C77" t="str">
            <v>u/s  234 B</v>
          </cell>
          <cell r="J77">
            <v>41406.734427162191</v>
          </cell>
        </row>
        <row r="78">
          <cell r="C78" t="str">
            <v>April to Sept.</v>
          </cell>
          <cell r="F78" t="str">
            <v>months</v>
          </cell>
          <cell r="H78">
            <v>0</v>
          </cell>
        </row>
        <row r="80">
          <cell r="C80" t="str">
            <v>u/s  234 C</v>
          </cell>
          <cell r="I80" t="str">
            <v>Shortfall</v>
          </cell>
          <cell r="J80" t="str">
            <v>Interest</v>
          </cell>
        </row>
        <row r="81">
          <cell r="C81" t="str">
            <v>Due Date</v>
          </cell>
          <cell r="D81" t="str">
            <v>Installment  Payable</v>
          </cell>
          <cell r="F81" t="str">
            <v>Paid</v>
          </cell>
          <cell r="G81" t="str">
            <v>Shortfall</v>
          </cell>
          <cell r="H81" t="str">
            <v>Interest</v>
          </cell>
        </row>
        <row r="82">
          <cell r="I82">
            <v>0</v>
          </cell>
          <cell r="J82">
            <v>0</v>
          </cell>
        </row>
        <row r="83">
          <cell r="C83" t="str">
            <v>15th  June</v>
          </cell>
          <cell r="D83">
            <v>549490.04999999993</v>
          </cell>
          <cell r="F83">
            <v>500000</v>
          </cell>
          <cell r="G83">
            <v>0</v>
          </cell>
          <cell r="H83">
            <v>0</v>
          </cell>
          <cell r="I83">
            <v>0</v>
          </cell>
          <cell r="J83">
            <v>0</v>
          </cell>
        </row>
        <row r="84">
          <cell r="C84" t="str">
            <v>15th  September</v>
          </cell>
          <cell r="D84">
            <v>1648470.1500000001</v>
          </cell>
          <cell r="F84">
            <v>1500000</v>
          </cell>
          <cell r="G84">
            <v>0</v>
          </cell>
          <cell r="H84">
            <v>0</v>
          </cell>
          <cell r="I84">
            <v>221101.01640743297</v>
          </cell>
          <cell r="J84">
            <v>6633.0304922229889</v>
          </cell>
        </row>
        <row r="85">
          <cell r="C85" t="str">
            <v>15th  December</v>
          </cell>
          <cell r="D85">
            <v>2747450.25</v>
          </cell>
          <cell r="F85">
            <v>2500000</v>
          </cell>
          <cell r="G85">
            <v>247450.25</v>
          </cell>
          <cell r="H85">
            <v>7423.5074999999997</v>
          </cell>
          <cell r="I85">
            <v>828134.6885432438</v>
          </cell>
          <cell r="J85">
            <v>8281.3468854324383</v>
          </cell>
        </row>
        <row r="86">
          <cell r="C86" t="str">
            <v>15th March</v>
          </cell>
          <cell r="D86">
            <v>3663267</v>
          </cell>
          <cell r="F86">
            <v>3500000</v>
          </cell>
          <cell r="G86">
            <v>163267</v>
          </cell>
          <cell r="H86">
            <v>1632.67</v>
          </cell>
          <cell r="J86">
            <v>14914.377377655426</v>
          </cell>
        </row>
        <row r="87">
          <cell r="D87" t="str">
            <v xml:space="preserve">Total  </v>
          </cell>
          <cell r="H87">
            <v>9056.1774999999998</v>
          </cell>
          <cell r="J87">
            <v>56321.111804817614</v>
          </cell>
        </row>
        <row r="88">
          <cell r="H88">
            <v>9056.1774999999998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66">
          <cell r="G266">
            <v>3612000</v>
          </cell>
        </row>
      </sheetData>
      <sheetData sheetId="32"/>
      <sheetData sheetId="33">
        <row r="9">
          <cell r="F9" t="str">
            <v>GROSS BLOCK</v>
          </cell>
          <cell r="J9" t="str">
            <v>DEPRECIATION</v>
          </cell>
        </row>
        <row r="10">
          <cell r="F10" t="str">
            <v>As On</v>
          </cell>
          <cell r="J10" t="str">
            <v>As On</v>
          </cell>
          <cell r="K10" t="str">
            <v xml:space="preserve">For the </v>
          </cell>
        </row>
        <row r="11">
          <cell r="F11" t="str">
            <v>1.4.2011</v>
          </cell>
          <cell r="J11" t="str">
            <v>1.4.2011</v>
          </cell>
          <cell r="K11" t="str">
            <v>period</v>
          </cell>
        </row>
        <row r="13">
          <cell r="F13">
            <v>0</v>
          </cell>
          <cell r="J13">
            <v>0</v>
          </cell>
          <cell r="K13">
            <v>24766.219999999998</v>
          </cell>
        </row>
        <row r="14">
          <cell r="F14">
            <v>35441727</v>
          </cell>
          <cell r="J14">
            <v>1352425</v>
          </cell>
          <cell r="K14">
            <v>711205</v>
          </cell>
        </row>
        <row r="15">
          <cell r="F15">
            <v>8797838</v>
          </cell>
          <cell r="J15">
            <v>4761027</v>
          </cell>
          <cell r="K15">
            <v>464526</v>
          </cell>
        </row>
        <row r="16">
          <cell r="F16">
            <v>3271975</v>
          </cell>
          <cell r="J16">
            <v>828792</v>
          </cell>
          <cell r="K16">
            <v>211158</v>
          </cell>
        </row>
        <row r="17">
          <cell r="F17">
            <v>1649200</v>
          </cell>
          <cell r="J17">
            <v>1317296</v>
          </cell>
          <cell r="K17">
            <v>267335</v>
          </cell>
        </row>
        <row r="18">
          <cell r="F18">
            <v>4987955</v>
          </cell>
          <cell r="J18">
            <v>1653085</v>
          </cell>
          <cell r="K18">
            <v>315738</v>
          </cell>
        </row>
        <row r="19">
          <cell r="F19">
            <v>1865846</v>
          </cell>
          <cell r="J19">
            <v>366252</v>
          </cell>
          <cell r="K19">
            <v>177255</v>
          </cell>
        </row>
        <row r="20">
          <cell r="F20">
            <v>5901074</v>
          </cell>
          <cell r="J20">
            <v>2751857</v>
          </cell>
          <cell r="K20">
            <v>560602.03</v>
          </cell>
        </row>
        <row r="21">
          <cell r="F21">
            <v>61915615</v>
          </cell>
          <cell r="J21">
            <v>13030734</v>
          </cell>
          <cell r="K21">
            <v>2732585.25</v>
          </cell>
        </row>
        <row r="22">
          <cell r="F22">
            <v>61488017.761250027</v>
          </cell>
          <cell r="J22">
            <v>10663387.5</v>
          </cell>
          <cell r="K22">
            <v>2367346</v>
          </cell>
        </row>
        <row r="23">
          <cell r="K23">
            <v>2559266</v>
          </cell>
        </row>
        <row r="24">
          <cell r="J24">
            <v>366</v>
          </cell>
          <cell r="K24">
            <v>-173319.25</v>
          </cell>
        </row>
        <row r="26">
          <cell r="F26" t="str">
            <v>Amount</v>
          </cell>
        </row>
        <row r="28">
          <cell r="F28">
            <v>0</v>
          </cell>
        </row>
        <row r="29">
          <cell r="F29">
            <v>0</v>
          </cell>
        </row>
        <row r="34">
          <cell r="F34" t="str">
            <v>Amount</v>
          </cell>
        </row>
        <row r="36">
          <cell r="F36">
            <v>72827.75</v>
          </cell>
        </row>
        <row r="37">
          <cell r="F37">
            <v>0</v>
          </cell>
        </row>
        <row r="38">
          <cell r="F38">
            <v>0</v>
          </cell>
        </row>
        <row r="39">
          <cell r="F39">
            <v>72827.75</v>
          </cell>
        </row>
        <row r="43">
          <cell r="F43" t="str">
            <v>Amount</v>
          </cell>
        </row>
        <row r="44">
          <cell r="F44">
            <v>1000000</v>
          </cell>
        </row>
        <row r="45">
          <cell r="F45">
            <v>5000000</v>
          </cell>
        </row>
        <row r="46">
          <cell r="F46">
            <v>619200</v>
          </cell>
        </row>
        <row r="47">
          <cell r="F47">
            <v>200000</v>
          </cell>
        </row>
        <row r="48">
          <cell r="F48">
            <v>10521000</v>
          </cell>
        </row>
        <row r="49">
          <cell r="F49">
            <v>1000500</v>
          </cell>
        </row>
        <row r="50">
          <cell r="F50">
            <v>18340700</v>
          </cell>
        </row>
        <row r="51">
          <cell r="F51">
            <v>16521000</v>
          </cell>
        </row>
        <row r="54">
          <cell r="F54" t="str">
            <v>Amount</v>
          </cell>
        </row>
        <row r="55">
          <cell r="F55">
            <v>5183000</v>
          </cell>
        </row>
        <row r="56">
          <cell r="F56">
            <v>5183000</v>
          </cell>
        </row>
        <row r="62">
          <cell r="F62" t="str">
            <v>WDV</v>
          </cell>
        </row>
        <row r="63">
          <cell r="F63">
            <v>527512.68041095894</v>
          </cell>
        </row>
        <row r="64">
          <cell r="F64">
            <v>475990.95041095896</v>
          </cell>
        </row>
        <row r="65">
          <cell r="F65">
            <v>424469.22041095898</v>
          </cell>
        </row>
        <row r="66">
          <cell r="F66">
            <v>372947.490410959</v>
          </cell>
        </row>
        <row r="67">
          <cell r="F67">
            <v>321425.76041095902</v>
          </cell>
        </row>
        <row r="68">
          <cell r="F68">
            <v>269904.03041095904</v>
          </cell>
        </row>
        <row r="69">
          <cell r="F69">
            <v>218382.30041095903</v>
          </cell>
        </row>
        <row r="70">
          <cell r="F70">
            <v>166860.57041095902</v>
          </cell>
        </row>
        <row r="71">
          <cell r="F71">
            <v>142225.86344374591</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I e-filing"/>
      <sheetName val="COI"/>
      <sheetName val="3CD "/>
      <sheetName val="DR"/>
      <sheetName val="Ann A"/>
      <sheetName val="Ann.-B&amp;E"/>
      <sheetName val="Ann.-C"/>
      <sheetName val="Ann.-D"/>
      <sheetName val="Pivot Table HO"/>
      <sheetName val="Ann-E"/>
      <sheetName val="Ann.-F"/>
      <sheetName val="Unsecured Loan"/>
      <sheetName val="Ann.-G"/>
      <sheetName val="Ann.-"/>
      <sheetName val="TDS"/>
      <sheetName val="Ann.-H"/>
      <sheetName val="Value"/>
      <sheetName val="Analysis"/>
      <sheetName val="DT"/>
      <sheetName val="Dr Age"/>
      <sheetName val="Trial Bal New HO"/>
      <sheetName val="BS REV SHD"/>
      <sheetName val="Pivot Table Branch"/>
      <sheetName val="Trial Bal Branch"/>
      <sheetName val="Dep"/>
      <sheetName val="Sheet2"/>
      <sheetName val="TB FINAL"/>
      <sheetName val="Statement"/>
      <sheetName val="Br TB (2)"/>
      <sheetName val="Final TB"/>
      <sheetName val="fabric details "/>
    </sheetNames>
    <sheetDataSet>
      <sheetData sheetId="0"/>
      <sheetData sheetId="1">
        <row r="78">
          <cell r="C78" t="str">
            <v>Interest  u/s 234A, 234B  &amp;  234C</v>
          </cell>
        </row>
        <row r="79">
          <cell r="C79" t="str">
            <v>u/s  234 B</v>
          </cell>
          <cell r="J79">
            <v>41406.734427162191</v>
          </cell>
        </row>
        <row r="80">
          <cell r="C80" t="str">
            <v>April to Sept.</v>
          </cell>
          <cell r="F80" t="str">
            <v>months</v>
          </cell>
          <cell r="H80" t="e">
            <v>#REF!</v>
          </cell>
        </row>
        <row r="82">
          <cell r="C82" t="str">
            <v>u/s  234 C</v>
          </cell>
          <cell r="I82" t="str">
            <v>Shortfall</v>
          </cell>
          <cell r="J82" t="str">
            <v>Interest</v>
          </cell>
        </row>
        <row r="83">
          <cell r="C83" t="str">
            <v>Due Date</v>
          </cell>
          <cell r="D83" t="str">
            <v>Installment  Payable</v>
          </cell>
          <cell r="F83" t="str">
            <v>Paid</v>
          </cell>
          <cell r="G83" t="str">
            <v>Shortfall</v>
          </cell>
          <cell r="H83" t="str">
            <v>Interest</v>
          </cell>
        </row>
        <row r="84">
          <cell r="I84">
            <v>0</v>
          </cell>
          <cell r="J84">
            <v>0</v>
          </cell>
        </row>
        <row r="85">
          <cell r="C85" t="str">
            <v>15th  June</v>
          </cell>
          <cell r="D85">
            <v>598294.79999999993</v>
          </cell>
          <cell r="F85">
            <v>500000</v>
          </cell>
          <cell r="G85">
            <v>0</v>
          </cell>
          <cell r="H85">
            <v>0</v>
          </cell>
          <cell r="I85">
            <v>0</v>
          </cell>
          <cell r="J85">
            <v>0</v>
          </cell>
        </row>
        <row r="86">
          <cell r="C86" t="str">
            <v>15th  September</v>
          </cell>
          <cell r="D86">
            <v>1794884.4000000001</v>
          </cell>
          <cell r="F86">
            <v>1500000</v>
          </cell>
          <cell r="G86">
            <v>0</v>
          </cell>
          <cell r="H86">
            <v>0</v>
          </cell>
          <cell r="I86">
            <v>221101.01640743297</v>
          </cell>
          <cell r="J86">
            <v>6633.0304922229889</v>
          </cell>
        </row>
        <row r="87">
          <cell r="C87" t="str">
            <v>15th  December</v>
          </cell>
          <cell r="D87">
            <v>2991474</v>
          </cell>
          <cell r="F87">
            <v>2500000</v>
          </cell>
          <cell r="G87">
            <v>491474</v>
          </cell>
          <cell r="H87">
            <v>14744.22</v>
          </cell>
          <cell r="I87">
            <v>828134.6885432438</v>
          </cell>
          <cell r="J87">
            <v>8281.3468854324383</v>
          </cell>
        </row>
        <row r="88">
          <cell r="C88" t="str">
            <v>15th March</v>
          </cell>
          <cell r="D88">
            <v>3988632</v>
          </cell>
          <cell r="F88" t="e">
            <v>#REF!</v>
          </cell>
          <cell r="G88" t="e">
            <v>#REF!</v>
          </cell>
          <cell r="H88" t="e">
            <v>#REF!</v>
          </cell>
          <cell r="J88">
            <v>14914.377377655426</v>
          </cell>
        </row>
        <row r="89">
          <cell r="D89" t="str">
            <v xml:space="preserve">Total  </v>
          </cell>
          <cell r="H89" t="e">
            <v>#REF!</v>
          </cell>
          <cell r="J89">
            <v>56321.111804817614</v>
          </cell>
        </row>
        <row r="90">
          <cell r="H90" t="e">
            <v>#REF!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F9" t="str">
            <v>GROSS BLOCK</v>
          </cell>
          <cell r="J9" t="str">
            <v>DEPRECIATION</v>
          </cell>
        </row>
        <row r="10">
          <cell r="F10" t="str">
            <v>As On</v>
          </cell>
          <cell r="J10" t="str">
            <v>As On</v>
          </cell>
          <cell r="K10" t="str">
            <v xml:space="preserve">For the </v>
          </cell>
        </row>
        <row r="11">
          <cell r="F11" t="str">
            <v>1.4.2012</v>
          </cell>
          <cell r="J11" t="str">
            <v>1.4.2012</v>
          </cell>
          <cell r="K11" t="str">
            <v>period</v>
          </cell>
        </row>
        <row r="13">
          <cell r="F13">
            <v>5183000</v>
          </cell>
          <cell r="J13">
            <v>24766</v>
          </cell>
          <cell r="K13">
            <v>84482.9</v>
          </cell>
        </row>
        <row r="14">
          <cell r="F14">
            <v>53782427</v>
          </cell>
          <cell r="J14">
            <v>2063630</v>
          </cell>
          <cell r="K14">
            <v>876653.56009999989</v>
          </cell>
        </row>
        <row r="15">
          <cell r="F15">
            <v>8797838</v>
          </cell>
          <cell r="J15">
            <v>5225553</v>
          </cell>
          <cell r="K15">
            <v>467691.84639999998</v>
          </cell>
        </row>
        <row r="16">
          <cell r="F16">
            <v>3344803</v>
          </cell>
          <cell r="J16">
            <v>1039950</v>
          </cell>
          <cell r="K16">
            <v>211726.02989999999</v>
          </cell>
        </row>
        <row r="17">
          <cell r="F17">
            <v>1649200</v>
          </cell>
          <cell r="J17">
            <v>1584631</v>
          </cell>
          <cell r="K17">
            <v>64569</v>
          </cell>
        </row>
        <row r="18">
          <cell r="F18">
            <v>4987955</v>
          </cell>
          <cell r="J18">
            <v>1968823</v>
          </cell>
          <cell r="K18">
            <v>315737.5515</v>
          </cell>
        </row>
        <row r="19">
          <cell r="F19">
            <v>1865846</v>
          </cell>
          <cell r="J19">
            <v>543507</v>
          </cell>
          <cell r="K19">
            <v>177255.37</v>
          </cell>
        </row>
        <row r="20">
          <cell r="F20">
            <v>5358740</v>
          </cell>
          <cell r="J20">
            <v>2912351</v>
          </cell>
          <cell r="K20">
            <v>527417.79485616437</v>
          </cell>
        </row>
        <row r="21">
          <cell r="F21">
            <v>84969809</v>
          </cell>
          <cell r="J21">
            <v>15363211</v>
          </cell>
          <cell r="K21">
            <v>2725534.0527561642</v>
          </cell>
        </row>
        <row r="22">
          <cell r="F22">
            <v>61915615</v>
          </cell>
          <cell r="J22">
            <v>13030734</v>
          </cell>
          <cell r="K22">
            <v>2732585</v>
          </cell>
        </row>
        <row r="23">
          <cell r="K23">
            <v>2559266</v>
          </cell>
        </row>
        <row r="24">
          <cell r="J24">
            <v>365</v>
          </cell>
          <cell r="K24">
            <v>-166268.05275616422</v>
          </cell>
        </row>
        <row r="26">
          <cell r="F26" t="str">
            <v>Amount</v>
          </cell>
        </row>
        <row r="28">
          <cell r="F28">
            <v>0</v>
          </cell>
        </row>
        <row r="29">
          <cell r="F29">
            <v>0</v>
          </cell>
        </row>
        <row r="31">
          <cell r="J31">
            <v>18063211</v>
          </cell>
        </row>
        <row r="33">
          <cell r="J33">
            <v>91295</v>
          </cell>
        </row>
        <row r="34">
          <cell r="F34" t="str">
            <v>Amount</v>
          </cell>
        </row>
        <row r="36">
          <cell r="F36">
            <v>79000</v>
          </cell>
          <cell r="J36">
            <v>6397.9799999999796</v>
          </cell>
        </row>
        <row r="37">
          <cell r="F37">
            <v>0</v>
          </cell>
        </row>
        <row r="38">
          <cell r="F38">
            <v>0</v>
          </cell>
        </row>
        <row r="39">
          <cell r="F39">
            <v>79000</v>
          </cell>
          <cell r="J39">
            <v>-16933</v>
          </cell>
        </row>
        <row r="43">
          <cell r="F43" t="str">
            <v>Amount</v>
          </cell>
        </row>
        <row r="46">
          <cell r="F46">
            <v>0</v>
          </cell>
        </row>
        <row r="49">
          <cell r="F49" t="str">
            <v>Amount</v>
          </cell>
        </row>
        <row r="50">
          <cell r="F50">
            <v>252518</v>
          </cell>
        </row>
        <row r="51">
          <cell r="F51">
            <v>596206.25</v>
          </cell>
        </row>
        <row r="52">
          <cell r="F52">
            <v>26212</v>
          </cell>
        </row>
        <row r="53">
          <cell r="F53">
            <v>67966</v>
          </cell>
        </row>
        <row r="54">
          <cell r="F54">
            <v>942902.25</v>
          </cell>
        </row>
        <row r="55">
          <cell r="F55">
            <v>40268</v>
          </cell>
          <cell r="J55">
            <v>348</v>
          </cell>
          <cell r="K55">
            <v>41000</v>
          </cell>
        </row>
        <row r="57">
          <cell r="F57" t="str">
            <v>Days</v>
          </cell>
          <cell r="K57" t="str">
            <v>total Dep</v>
          </cell>
        </row>
        <row r="58">
          <cell r="J58" t="str">
            <v>2012-13</v>
          </cell>
        </row>
        <row r="59">
          <cell r="F59">
            <v>276</v>
          </cell>
          <cell r="J59">
            <v>54262.691342465754</v>
          </cell>
          <cell r="K59">
            <v>211125.52895890409</v>
          </cell>
        </row>
      </sheetData>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M"/>
      <sheetName val="Anx-N"/>
      <sheetName val="Anx_M"/>
    </sheetNames>
    <sheetDataSet>
      <sheetData sheetId="0"/>
      <sheetData sheetId="1"/>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P&amp;L"/>
      <sheetName val="Result 2 B&amp;S"/>
      <sheetName val="Result 3 CF"/>
      <sheetName val="Cash Flow"/>
      <sheetName val="BSPL"/>
      <sheetName val="Ratio Analysis"/>
      <sheetName val="COI"/>
      <sheetName val="Pivot"/>
      <sheetName val="Share Holding"/>
      <sheetName val="Depreciation"/>
      <sheetName val="CLOSING STOCK21-22"/>
      <sheetName val="DEBTORS AGEING 21-22"/>
      <sheetName val="FG Valuation"/>
      <sheetName val="DT"/>
      <sheetName val="IT Dep"/>
      <sheetName val="Ratios (2)"/>
      <sheetName val="3CD ratios"/>
      <sheetName val="Cost Sheet"/>
      <sheetName val="Loans to staff"/>
      <sheetName val="Advance to Supplier"/>
      <sheetName val="IPS Sanction Letter &amp; Books"/>
      <sheetName val="Advance for Capital Good"/>
      <sheetName val="FDR"/>
      <sheetName val="Bonus Sal"/>
      <sheetName val="Leave encashment"/>
      <sheetName val="Bank TL &amp; Int."/>
      <sheetName val="Unsecured Loan Int"/>
      <sheetName val="Director Remuneration"/>
      <sheetName val="Directors Rem"/>
      <sheetName val="Sheet1"/>
      <sheetName val="TB final"/>
      <sheetName val="2122"/>
    </sheetNames>
    <sheetDataSet>
      <sheetData sheetId="0"/>
      <sheetData sheetId="1"/>
      <sheetData sheetId="2"/>
      <sheetData sheetId="3"/>
      <sheetData sheetId="4">
        <row r="86">
          <cell r="G86">
            <v>7602953.1500000004</v>
          </cell>
          <cell r="H86">
            <v>6372184.9500000002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6">
          <cell r="F6">
            <v>4118537</v>
          </cell>
          <cell r="G6">
            <v>0</v>
          </cell>
        </row>
      </sheetData>
      <sheetData sheetId="26"/>
      <sheetData sheetId="27"/>
      <sheetData sheetId="28"/>
      <sheetData sheetId="29"/>
      <sheetData sheetId="30"/>
      <sheetData sheetId="3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Cash Flow"/>
      <sheetName val="Notes (Liabilities)"/>
      <sheetName val="Note-Fixed Assets 2021-21"/>
      <sheetName val="Notes (Assets)"/>
      <sheetName val="Notes (P&amp;L)"/>
      <sheetName val="Related Party Disclosure"/>
      <sheetName val="Ratio Analysis"/>
      <sheetName val="Amended Regulatory Information"/>
      <sheetName val="3(i)(c)"/>
    </sheetNames>
    <sheetDataSet>
      <sheetData sheetId="0">
        <row r="33">
          <cell r="E33">
            <v>0</v>
          </cell>
        </row>
      </sheetData>
      <sheetData sheetId="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sheetName val="Result 2"/>
      <sheetName val="Result 3"/>
      <sheetName val="Cash Flow Statement"/>
      <sheetName val="BSPL"/>
      <sheetName val="Depreciation Co. Act"/>
      <sheetName val="Pivot"/>
      <sheetName val="Sheet2"/>
      <sheetName val="Closing Stock Valuation"/>
      <sheetName val="CLOSING STOCK 31-03-20"/>
      <sheetName val="Computation"/>
      <sheetName val="Deffered Tax"/>
      <sheetName val="Depreciation as per Income Tax"/>
      <sheetName val="Term Loan"/>
      <sheetName val="TB MAIN"/>
      <sheetName val="TB31032020"/>
      <sheetName val="TB310320119"/>
      <sheetName val="Sheet1"/>
    </sheetNames>
    <sheetDataSet>
      <sheetData sheetId="0" refreshError="1"/>
      <sheetData sheetId="1" refreshError="1"/>
      <sheetData sheetId="2" refreshError="1"/>
      <sheetData sheetId="3" refreshError="1"/>
      <sheetData sheetId="4" refreshError="1">
        <row r="9">
          <cell r="F9">
            <v>402479.2</v>
          </cell>
          <cell r="G9">
            <v>484789</v>
          </cell>
        </row>
        <row r="11">
          <cell r="G11">
            <v>2870555</v>
          </cell>
        </row>
        <row r="15">
          <cell r="G15">
            <v>51184927.105289809</v>
          </cell>
        </row>
        <row r="17">
          <cell r="G17">
            <v>89957465.5</v>
          </cell>
        </row>
        <row r="19">
          <cell r="G19">
            <v>192300</v>
          </cell>
        </row>
        <row r="20">
          <cell r="G20">
            <v>5769158.1199999992</v>
          </cell>
        </row>
        <row r="22">
          <cell r="F22">
            <v>585094</v>
          </cell>
          <cell r="G22">
            <v>572621</v>
          </cell>
        </row>
        <row r="40">
          <cell r="G40">
            <v>55675684.390000001</v>
          </cell>
        </row>
        <row r="41">
          <cell r="G41">
            <v>49656875.130000003</v>
          </cell>
        </row>
        <row r="43">
          <cell r="G43">
            <v>539205.43999999994</v>
          </cell>
        </row>
        <row r="99">
          <cell r="F99">
            <v>4514807.180287933</v>
          </cell>
          <cell r="G99">
            <v>16160409.421267949</v>
          </cell>
        </row>
        <row r="106">
          <cell r="F106">
            <v>-186251</v>
          </cell>
        </row>
        <row r="241">
          <cell r="G241">
            <v>1521769</v>
          </cell>
        </row>
        <row r="242">
          <cell r="G242">
            <v>1353400</v>
          </cell>
        </row>
        <row r="243">
          <cell r="G243">
            <v>2799620.3599999994</v>
          </cell>
        </row>
        <row r="291">
          <cell r="G291">
            <v>7276608.1800000006</v>
          </cell>
        </row>
        <row r="351">
          <cell r="G351">
            <v>31105627</v>
          </cell>
        </row>
        <row r="357">
          <cell r="G357">
            <v>1662107</v>
          </cell>
        </row>
        <row r="371">
          <cell r="F371">
            <v>-1808134</v>
          </cell>
          <cell r="G371">
            <v>-7089950.0863537798</v>
          </cell>
        </row>
        <row r="400">
          <cell r="G400">
            <v>17650350</v>
          </cell>
        </row>
        <row r="401">
          <cell r="G401">
            <v>928040</v>
          </cell>
        </row>
        <row r="403">
          <cell r="G403">
            <v>775995</v>
          </cell>
        </row>
        <row r="404">
          <cell r="G404">
            <v>192300</v>
          </cell>
        </row>
        <row r="406">
          <cell r="G406">
            <v>790876</v>
          </cell>
        </row>
        <row r="412">
          <cell r="F412">
            <v>0.18028793297708035</v>
          </cell>
          <cell r="G412">
            <v>1488650.421267949</v>
          </cell>
        </row>
        <row r="413">
          <cell r="G413">
            <v>1450129</v>
          </cell>
        </row>
        <row r="414">
          <cell r="G414">
            <v>1603900</v>
          </cell>
        </row>
      </sheetData>
      <sheetData sheetId="5" refreshError="1"/>
      <sheetData sheetId="6" refreshError="1"/>
      <sheetData sheetId="7" refreshError="1"/>
      <sheetData sheetId="8" refreshError="1"/>
      <sheetData sheetId="9" refreshError="1"/>
      <sheetData sheetId="10" refreshError="1">
        <row r="83">
          <cell r="I83">
            <v>655513</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sheetName val="Result 2"/>
      <sheetName val="Result1"/>
      <sheetName val="Result 3"/>
      <sheetName val="Cash Flow"/>
      <sheetName val="BSPL"/>
      <sheetName val="Sheet1"/>
      <sheetName val="PPE"/>
      <sheetName val="Pivot"/>
      <sheetName val="TB final"/>
      <sheetName val="Trial Balance"/>
      <sheetName val="CLOSING STOCK AS ON 31-03-21"/>
      <sheetName val="DT"/>
      <sheetName val="COI"/>
      <sheetName val="IT Dep"/>
      <sheetName val="Prepaid Ins"/>
      <sheetName val="Advance for Capital Goods"/>
      <sheetName val="FDR"/>
      <sheetName val="Ratios"/>
      <sheetName val="FG Valuation"/>
      <sheetName val="Loans to staff"/>
      <sheetName val="PSI Bifurcation"/>
      <sheetName val="Cost Sheet"/>
      <sheetName val="Term Loan"/>
      <sheetName val="Share Holding"/>
      <sheetName val="Unsecured Loan"/>
      <sheetName val="Debtor's Ageing 2020-21"/>
      <sheetName val="TB18.06"/>
      <sheetName val="TB09.06.21"/>
      <sheetName val="TB 28.5.21"/>
      <sheetName val="TB 03.06.21"/>
      <sheetName val="TB2019-20"/>
      <sheetName val="Requirements"/>
    </sheetNames>
    <sheetDataSet>
      <sheetData sheetId="0" refreshError="1"/>
      <sheetData sheetId="1" refreshError="1"/>
      <sheetData sheetId="2" refreshError="1"/>
      <sheetData sheetId="3" refreshError="1"/>
      <sheetData sheetId="4" refreshError="1"/>
      <sheetData sheetId="5" refreshError="1">
        <row r="9">
          <cell r="F9">
            <v>313007.73999999836</v>
          </cell>
        </row>
        <row r="15">
          <cell r="F15">
            <v>67513794.217889339</v>
          </cell>
          <cell r="G15">
            <v>67823511.890000001</v>
          </cell>
        </row>
        <row r="17">
          <cell r="F17">
            <v>155760049.43000001</v>
          </cell>
          <cell r="G17">
            <v>94854388</v>
          </cell>
        </row>
        <row r="18">
          <cell r="F18">
            <v>333868.40000000002</v>
          </cell>
        </row>
        <row r="19">
          <cell r="F19">
            <v>0</v>
          </cell>
          <cell r="G19">
            <v>83453.5</v>
          </cell>
        </row>
        <row r="20">
          <cell r="F20">
            <v>7281000</v>
          </cell>
          <cell r="G20">
            <v>8543299.9600000009</v>
          </cell>
        </row>
        <row r="21">
          <cell r="F21">
            <v>4209495.0199999996</v>
          </cell>
          <cell r="G21">
            <v>5106736.3549999995</v>
          </cell>
        </row>
        <row r="22">
          <cell r="F22">
            <v>673307</v>
          </cell>
        </row>
        <row r="23">
          <cell r="F23">
            <v>235771514.06788936</v>
          </cell>
        </row>
        <row r="41">
          <cell r="G41">
            <v>59045466.559999995</v>
          </cell>
        </row>
        <row r="42">
          <cell r="G42">
            <v>8240996.9399999995</v>
          </cell>
        </row>
        <row r="43">
          <cell r="G43">
            <v>537842.43999999994</v>
          </cell>
        </row>
        <row r="127">
          <cell r="E127" t="str">
            <v>JARNAIL SINGH SAINI - CHIEF FINANCIAL OFFICER &amp; EXECUTIVE DIRECTOR</v>
          </cell>
        </row>
        <row r="353">
          <cell r="G353">
            <v>2183354.7000000002</v>
          </cell>
        </row>
        <row r="413">
          <cell r="G413">
            <v>1454879</v>
          </cell>
        </row>
        <row r="414">
          <cell r="G414">
            <v>1670270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P&amp;L"/>
      <sheetName val="Result 2 B&amp;S"/>
      <sheetName val="Result 3 CF"/>
      <sheetName val="Cash Flow"/>
      <sheetName val="BSPL"/>
      <sheetName val="Ratio Analysis"/>
      <sheetName val="COI"/>
      <sheetName val="Pivot"/>
      <sheetName val="Share Holding"/>
      <sheetName val="Depreciation"/>
      <sheetName val="CLOSING STOCK21-22"/>
      <sheetName val="DEBTORS AGEING 21-22"/>
      <sheetName val="FG Valuation"/>
      <sheetName val="DT"/>
      <sheetName val="IT Dep"/>
      <sheetName val="Ratios (2)"/>
      <sheetName val="3CD ratios"/>
      <sheetName val="Cost Sheet"/>
      <sheetName val="Loans to staff"/>
      <sheetName val="Advance to Supplier"/>
      <sheetName val="IPS Sanction Letter &amp; Books"/>
      <sheetName val="Advance for Capital Good"/>
      <sheetName val="FDR"/>
      <sheetName val="Bonus Sal"/>
      <sheetName val="Leave encashment"/>
      <sheetName val="Bank TL &amp; Int."/>
      <sheetName val="Unsecured Loan Int"/>
      <sheetName val="Director Remuneration"/>
      <sheetName val="Directors Rem"/>
      <sheetName val="Sheet1"/>
      <sheetName val="TB final"/>
      <sheetName val="2122"/>
    </sheetNames>
    <sheetDataSet>
      <sheetData sheetId="0" refreshError="1"/>
      <sheetData sheetId="1" refreshError="1"/>
      <sheetData sheetId="2" refreshError="1"/>
      <sheetData sheetId="3" refreshError="1"/>
      <sheetData sheetId="4">
        <row r="8">
          <cell r="G8">
            <v>207947527.01093861</v>
          </cell>
        </row>
        <row r="26">
          <cell r="G26">
            <v>509113157.60462642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5">
          <cell r="J25">
            <v>659464.01664000005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P&amp;L"/>
      <sheetName val="Result 2 BS"/>
      <sheetName val="Result 3 CF"/>
      <sheetName val="Cash Flow"/>
      <sheetName val="BSPL"/>
      <sheetName val="Working Capital"/>
      <sheetName val="COI"/>
      <sheetName val="Related Parties"/>
      <sheetName val="Depreciation"/>
      <sheetName val="Pivot"/>
      <sheetName val="TB Final"/>
      <sheetName val="TB"/>
      <sheetName val="Debtor's Ageing"/>
      <sheetName val="Dir Rem CA 2013"/>
      <sheetName val="Dir Rem"/>
      <sheetName val="DT"/>
      <sheetName val="FG Valuation"/>
      <sheetName val="TL &amp; intt."/>
      <sheetName val="Shareholders List"/>
      <sheetName val="Term Loans and Interest"/>
      <sheetName val="Cost Sheet"/>
      <sheetName val="IPS Sanction Letter &amp; Books"/>
      <sheetName val="Capital Advance"/>
      <sheetName val="Deferred taxation"/>
      <sheetName val="CLOSING STOCK 22-23"/>
      <sheetName val="Loans to staff"/>
      <sheetName val="Advance to Supplier"/>
      <sheetName val="IT Dep"/>
      <sheetName val="Leave Encashment"/>
    </sheetNames>
    <sheetDataSet>
      <sheetData sheetId="0"/>
      <sheetData sheetId="1"/>
      <sheetData sheetId="2"/>
      <sheetData sheetId="3"/>
      <sheetData sheetId="4">
        <row r="81">
          <cell r="E81">
            <v>815421272.66636157</v>
          </cell>
        </row>
        <row r="85">
          <cell r="E85">
            <v>8709815</v>
          </cell>
        </row>
        <row r="97">
          <cell r="E97">
            <v>-11872958.438882498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G CR LIST "/>
      <sheetName val="EXP CR LIST "/>
      <sheetName val="GOODS CR LIST "/>
      <sheetName val="TRANS CR LIST "/>
    </sheetNames>
    <sheetDataSet>
      <sheetData sheetId="0">
        <row r="10">
          <cell r="J10">
            <v>614398</v>
          </cell>
        </row>
        <row r="11">
          <cell r="J11">
            <v>876715</v>
          </cell>
        </row>
        <row r="12">
          <cell r="J12">
            <v>1356036</v>
          </cell>
        </row>
        <row r="13">
          <cell r="J13">
            <v>256921</v>
          </cell>
        </row>
        <row r="19">
          <cell r="O19">
            <v>215515</v>
          </cell>
        </row>
        <row r="20">
          <cell r="N20">
            <v>228625</v>
          </cell>
        </row>
        <row r="23">
          <cell r="N23">
            <v>100000</v>
          </cell>
        </row>
        <row r="32">
          <cell r="J32">
            <v>243000</v>
          </cell>
        </row>
        <row r="38">
          <cell r="F38">
            <v>672000</v>
          </cell>
        </row>
      </sheetData>
      <sheetData sheetId="1">
        <row r="9">
          <cell r="F9">
            <v>39816</v>
          </cell>
        </row>
        <row r="53">
          <cell r="F53">
            <v>75205</v>
          </cell>
        </row>
        <row r="90">
          <cell r="F90">
            <v>588420</v>
          </cell>
        </row>
        <row r="98">
          <cell r="F98">
            <v>81650</v>
          </cell>
        </row>
        <row r="155">
          <cell r="F155">
            <v>242667</v>
          </cell>
        </row>
      </sheetData>
      <sheetData sheetId="2">
        <row r="246">
          <cell r="F246">
            <v>1780152</v>
          </cell>
        </row>
        <row r="674">
          <cell r="F674">
            <v>2296047.5</v>
          </cell>
        </row>
        <row r="794">
          <cell r="F794">
            <v>3597964</v>
          </cell>
        </row>
        <row r="950">
          <cell r="J950">
            <v>182880</v>
          </cell>
        </row>
      </sheetData>
      <sheetData sheetId="3">
        <row r="24">
          <cell r="F24">
            <v>374208</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sheetName val="Result 1 P&amp;L"/>
      <sheetName val="Result 2 B&amp;S"/>
      <sheetName val="Result 3 CF"/>
      <sheetName val="Cash Flow Statement"/>
      <sheetName val="Term Loan"/>
      <sheetName val="PPE FY 2019-20"/>
      <sheetName val="Pivot22.7.21"/>
      <sheetName val="BSPL"/>
      <sheetName val="Pivot13.10.21"/>
      <sheetName val="FG Valuation"/>
      <sheetName val="Term Loan Bifurcation"/>
      <sheetName val="Results Q1"/>
      <sheetName val="CLOSING STOCK AS ON 30.09.21"/>
      <sheetName val="TB New"/>
      <sheetName val="TB MAIN"/>
      <sheetName val="Trial Balance"/>
      <sheetName val="TB 27.10.21"/>
      <sheetName val="TB2020-21"/>
      <sheetName val="TB11.08.21"/>
      <sheetName val="trial balance2021-22"/>
      <sheetName val="Pivot"/>
      <sheetName val="Depreciation Co. Act"/>
      <sheetName val="Closing Stock Valuation"/>
      <sheetName val="CLOSING STOCK 31-03-20"/>
      <sheetName val="Deffered Tax"/>
      <sheetName val="Depreciation as per Income Tax"/>
      <sheetName val="Term Loan111"/>
      <sheetName val="TB31032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7">
          <cell r="F97">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ct"/>
      <sheetName val="Result 1 P&amp;L"/>
      <sheetName val="Result 2 B&amp;S"/>
      <sheetName val="Result 3 CF"/>
      <sheetName val="Cash Flow"/>
      <sheetName val="BSPL"/>
      <sheetName val="Depreciation"/>
      <sheetName val="CLOSING STOCK21-22"/>
      <sheetName val="Working Capital"/>
      <sheetName val="Ratio Analysis"/>
      <sheetName val="Financial Ratios"/>
      <sheetName val="3CD ratios"/>
      <sheetName val="COI"/>
      <sheetName val="Pivot"/>
      <sheetName val="Share Holding"/>
      <sheetName val="FG Valuation"/>
      <sheetName val="DEBTORS AGEING 21-22"/>
      <sheetName val="DT"/>
      <sheetName val="IT Dep"/>
      <sheetName val="Ratios (2)"/>
      <sheetName val="Cost Sheet"/>
      <sheetName val="Loans to staff"/>
      <sheetName val="Advance to Supplier"/>
      <sheetName val="IPS Sanction Letter &amp; Books"/>
      <sheetName val="Advance for Capital Good"/>
      <sheetName val="FDR"/>
      <sheetName val="Bonus Sal"/>
      <sheetName val="Leave encashment"/>
      <sheetName val="Bank TL &amp; Int."/>
      <sheetName val="Unsecured Loan Int"/>
      <sheetName val="Director Remuneration"/>
      <sheetName val="Directors Rem"/>
      <sheetName val="Sheet1"/>
      <sheetName val="TB final"/>
      <sheetName val="2122"/>
    </sheetNames>
    <sheetDataSet>
      <sheetData sheetId="0"/>
      <sheetData sheetId="1">
        <row r="1">
          <cell r="A1">
            <v>100000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
      <sheetName val="QTLY RESULT"/>
      <sheetName val="ANN-E (2)"/>
      <sheetName val="Ann. H (2)"/>
      <sheetName val="Cash Flow"/>
      <sheetName val="Balance Sheet"/>
      <sheetName val="PIVOT"/>
      <sheetName val="FA As per Co. Act"/>
      <sheetName val="Debtors Creditors"/>
      <sheetName val="FG Value"/>
      <sheetName val="Computation"/>
      <sheetName val="Sheet5"/>
      <sheetName val="DT sep17"/>
      <sheetName val="Dep as Income Tax"/>
      <sheetName val="FA AS per CA"/>
      <sheetName val="Adjustment 2017-18"/>
      <sheetName val="Adjustment1516"/>
      <sheetName val="Adjustment1617"/>
      <sheetName val="TB New (2)"/>
      <sheetName val="CMA"/>
      <sheetName val="Sheet1"/>
      <sheetName val="Sheet2"/>
      <sheetName val="DT"/>
      <sheetName val="Sheet4"/>
      <sheetName val="TB New"/>
      <sheetName val="TB210518"/>
      <sheetName val="TB JAN18"/>
      <sheetName val="ind AS reco"/>
      <sheetName val="tb 29.05.2017"/>
      <sheetName val="IND AS "/>
      <sheetName val="NEW 3CD"/>
      <sheetName val="Ann B"/>
      <sheetName val="Ann . C"/>
      <sheetName val="Ann D"/>
      <sheetName val="ANN-E"/>
      <sheetName val="Ann. F"/>
      <sheetName val="Ann G"/>
      <sheetName val="Ann. H"/>
      <sheetName val="Ann. G"/>
      <sheetName val="TB31032018"/>
      <sheetName val="TB150518"/>
      <sheetName val="TB200518"/>
      <sheetName val="Sheet3"/>
    </sheetNames>
    <sheetDataSet>
      <sheetData sheetId="0" refreshError="1"/>
      <sheetData sheetId="1" refreshError="1"/>
      <sheetData sheetId="2" refreshError="1"/>
      <sheetData sheetId="3" refreshError="1"/>
      <sheetData sheetId="4" refreshError="1"/>
      <sheetData sheetId="5" refreshError="1">
        <row r="28">
          <cell r="F28">
            <v>0</v>
          </cell>
        </row>
        <row r="29">
          <cell r="F29">
            <v>26922650</v>
          </cell>
        </row>
        <row r="33">
          <cell r="F33">
            <v>26922640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ed Parties"/>
      <sheetName val="P&amp;L"/>
      <sheetName val="BS"/>
      <sheetName val="VARIANCE ANALYSIS "/>
      <sheetName val="Sch 1-4"/>
      <sheetName val="Sch-5"/>
      <sheetName val="Sch-6-11"/>
      <sheetName val="Sch 12 &amp;13"/>
      <sheetName val="P&amp;L Sch 14-16"/>
      <sheetName val="P&amp;L Sch 17-19"/>
      <sheetName val="Data Entry"/>
      <sheetName val="TRIAL BALANCE (2)"/>
      <sheetName val="TRIAL BALANCE"/>
      <sheetName val="TB Download"/>
      <sheetName val="TBdownload-2002"/>
      <sheetName val="CC wise Download"/>
      <sheetName val="SIF P&amp;L BS"/>
      <sheetName val="SIF P&amp;L"/>
      <sheetName val="SIF Workings"/>
      <sheetName val="SIF Results Back up"/>
      <sheetName val="PROVISIONS"/>
      <sheetName val="Pl-Incl"/>
      <sheetName val="pl-Excl"/>
      <sheetName val="sch-I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17"/>
      <sheetName val="17-18"/>
      <sheetName val="2018-19"/>
      <sheetName val=" Summary-19-20"/>
      <sheetName val="Summary-20-21"/>
      <sheetName val="Summary 2021-22"/>
      <sheetName val="Summary 2022-23"/>
      <sheetName val=" land"/>
      <sheetName val="Building"/>
      <sheetName val=" Plant &amp; Machinery"/>
      <sheetName val="Motor vehicle"/>
      <sheetName val=" Computer"/>
      <sheetName val=" Office Equipment"/>
      <sheetName val=" Furniture &amp; fixture"/>
      <sheetName val=" Electrical Installation"/>
      <sheetName val="W-I-P(Building)"/>
      <sheetName val="WIP(PL &amp; M)"/>
      <sheetName val=" Useful Life"/>
    </sheetNames>
    <sheetDataSet>
      <sheetData sheetId="0"/>
      <sheetData sheetId="1"/>
      <sheetData sheetId="2"/>
      <sheetData sheetId="3"/>
      <sheetData sheetId="4"/>
      <sheetData sheetId="5"/>
      <sheetData sheetId="6">
        <row r="4">
          <cell r="C4">
            <v>0</v>
          </cell>
          <cell r="G4">
            <v>0</v>
          </cell>
        </row>
        <row r="5">
          <cell r="C5">
            <v>2830332</v>
          </cell>
          <cell r="G5">
            <v>1989109.4416082194</v>
          </cell>
        </row>
        <row r="6">
          <cell r="C6">
            <v>63178</v>
          </cell>
          <cell r="G6">
            <v>13650884.832549458</v>
          </cell>
        </row>
        <row r="7">
          <cell r="C7">
            <v>0</v>
          </cell>
          <cell r="G7">
            <v>369148.96419712796</v>
          </cell>
        </row>
        <row r="8">
          <cell r="C8">
            <v>29800</v>
          </cell>
          <cell r="G8">
            <v>45170.164383561641</v>
          </cell>
        </row>
        <row r="9">
          <cell r="C9">
            <v>0</v>
          </cell>
          <cell r="G9">
            <v>114072.38100000002</v>
          </cell>
        </row>
        <row r="10">
          <cell r="C10">
            <v>540632</v>
          </cell>
          <cell r="G10">
            <v>56194.045940709912</v>
          </cell>
        </row>
        <row r="11">
          <cell r="C11">
            <v>98460</v>
          </cell>
          <cell r="G11">
            <v>1857088.3425129813</v>
          </cell>
        </row>
      </sheetData>
      <sheetData sheetId="7"/>
      <sheetData sheetId="8">
        <row r="464">
          <cell r="N464">
            <v>904835.60000000009</v>
          </cell>
          <cell r="EF464">
            <v>14186712.15400913</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17"/>
      <sheetName val="17-18"/>
      <sheetName val="2018-19"/>
      <sheetName val=" Summary-19-20"/>
      <sheetName val="Summary-20-21"/>
      <sheetName val="Summary 2021-22"/>
      <sheetName val="W-I-P(Building)"/>
      <sheetName val="WIP(PL &amp; M)"/>
      <sheetName val=" land"/>
      <sheetName val="Building"/>
      <sheetName val=" Plant &amp; Machinery"/>
      <sheetName val="Motor vehicle"/>
      <sheetName val=" Computer"/>
      <sheetName val=" Office Equipment"/>
      <sheetName val=" Furniture &amp; fixture"/>
      <sheetName val=" Electrical Installation"/>
      <sheetName val=" Useful Life"/>
    </sheetNames>
    <sheetDataSet>
      <sheetData sheetId="0" refreshError="1"/>
      <sheetData sheetId="1" refreshError="1"/>
      <sheetData sheetId="2" refreshError="1"/>
      <sheetData sheetId="3" refreshError="1"/>
      <sheetData sheetId="4" refreshError="1">
        <row r="4">
          <cell r="E4">
            <v>33964999.899999999</v>
          </cell>
          <cell r="I4">
            <v>0</v>
          </cell>
        </row>
        <row r="5">
          <cell r="E5">
            <v>58923230.529999994</v>
          </cell>
          <cell r="I5">
            <v>5534893.9886987675</v>
          </cell>
        </row>
        <row r="6">
          <cell r="E6">
            <v>215300342.50799999</v>
          </cell>
          <cell r="I6">
            <v>99496168.438061088</v>
          </cell>
        </row>
        <row r="7">
          <cell r="E7">
            <v>2991111</v>
          </cell>
          <cell r="I7">
            <v>558719.83806600736</v>
          </cell>
        </row>
        <row r="8">
          <cell r="E8">
            <v>744525.7</v>
          </cell>
          <cell r="I8">
            <v>688913.61548858462</v>
          </cell>
        </row>
        <row r="9">
          <cell r="E9">
            <v>1024059.5</v>
          </cell>
          <cell r="I9">
            <v>598525.87082759</v>
          </cell>
        </row>
        <row r="10">
          <cell r="E10">
            <v>1330214.03</v>
          </cell>
          <cell r="I10">
            <v>1014017.3961523059</v>
          </cell>
        </row>
        <row r="11">
          <cell r="E11">
            <v>26188108.080000002</v>
          </cell>
          <cell r="I11">
            <v>16345550.182161208</v>
          </cell>
        </row>
        <row r="15">
          <cell r="E15">
            <v>133007.59999999963</v>
          </cell>
        </row>
        <row r="16">
          <cell r="E16">
            <v>179999.53999999957</v>
          </cell>
        </row>
      </sheetData>
      <sheetData sheetId="5" refreshError="1">
        <row r="4">
          <cell r="C4">
            <v>0</v>
          </cell>
          <cell r="D4">
            <v>0</v>
          </cell>
          <cell r="G4">
            <v>0</v>
          </cell>
        </row>
        <row r="5">
          <cell r="C5">
            <v>2363147.9900000002</v>
          </cell>
          <cell r="D5">
            <v>0</v>
          </cell>
          <cell r="G5">
            <v>1905326.4820191783</v>
          </cell>
          <cell r="H5">
            <v>0</v>
          </cell>
        </row>
        <row r="6">
          <cell r="C6">
            <v>6804071.8600000003</v>
          </cell>
          <cell r="D6">
            <v>0</v>
          </cell>
          <cell r="G6">
            <v>13628774.029168235</v>
          </cell>
          <cell r="H6">
            <v>0</v>
          </cell>
        </row>
        <row r="7">
          <cell r="C7">
            <v>0</v>
          </cell>
          <cell r="D7">
            <v>0</v>
          </cell>
          <cell r="G7">
            <v>369148.96419712796</v>
          </cell>
          <cell r="H7">
            <v>0</v>
          </cell>
        </row>
        <row r="8">
          <cell r="C8">
            <v>124110</v>
          </cell>
          <cell r="D8">
            <v>0</v>
          </cell>
          <cell r="G8">
            <v>41542.628027397266</v>
          </cell>
          <cell r="H8">
            <v>0</v>
          </cell>
        </row>
        <row r="9">
          <cell r="C9">
            <v>99683.63</v>
          </cell>
          <cell r="D9">
            <v>0</v>
          </cell>
          <cell r="G9">
            <v>113996.87240821918</v>
          </cell>
          <cell r="H9">
            <v>0</v>
          </cell>
        </row>
        <row r="10">
          <cell r="C10">
            <v>13983</v>
          </cell>
          <cell r="D10">
            <v>0</v>
          </cell>
          <cell r="G10">
            <v>48716.19506216341</v>
          </cell>
          <cell r="H10">
            <v>0</v>
          </cell>
        </row>
        <row r="11">
          <cell r="C11">
            <v>270480</v>
          </cell>
          <cell r="D11">
            <v>0</v>
          </cell>
          <cell r="G11">
            <v>1850243.3204432426</v>
          </cell>
          <cell r="H11">
            <v>0</v>
          </cell>
        </row>
        <row r="15">
          <cell r="C15">
            <v>1825887.73</v>
          </cell>
          <cell r="D15">
            <v>820398.42</v>
          </cell>
        </row>
        <row r="16">
          <cell r="D16">
            <v>3134481</v>
          </cell>
        </row>
      </sheetData>
      <sheetData sheetId="6" refreshError="1"/>
      <sheetData sheetId="7" refreshError="1"/>
      <sheetData sheetId="8" refreshError="1"/>
      <sheetData sheetId="9" refreshError="1">
        <row r="464">
          <cell r="EB464">
            <v>14759774.700675797</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1 P&amp;L"/>
      <sheetName val="Result 2 B&amp;S"/>
      <sheetName val="Result 3 CF"/>
      <sheetName val="Cash Flow"/>
      <sheetName val="BSPL"/>
      <sheetName val="Ratio Analysis"/>
      <sheetName val="COI"/>
      <sheetName val="Pivot"/>
      <sheetName val="Share Holding"/>
      <sheetName val="Depreciation"/>
      <sheetName val="CLOSING STOCK21-22"/>
      <sheetName val="DEBTORS AGEING 21-22"/>
      <sheetName val="FG Valuation"/>
      <sheetName val="DT"/>
      <sheetName val="IT Dep"/>
      <sheetName val="Ratios (2)"/>
      <sheetName val="3CD ratios"/>
      <sheetName val="Cost Sheet"/>
      <sheetName val="Loans to staff"/>
      <sheetName val="Advance to Supplier"/>
      <sheetName val="IPS Sanction Letter &amp; Books"/>
      <sheetName val="Advance for Capital Good"/>
      <sheetName val="FDR"/>
      <sheetName val="Bonus Sal"/>
      <sheetName val="Leave encashment"/>
      <sheetName val="Bank TL &amp; Int."/>
      <sheetName val="Unsecured Loan Int"/>
      <sheetName val="Director Remuneration"/>
      <sheetName val="Directors Rem"/>
      <sheetName val="Sheet1"/>
      <sheetName val="TB final"/>
      <sheetName val="2122"/>
    </sheetNames>
    <sheetDataSet>
      <sheetData sheetId="0"/>
      <sheetData sheetId="1"/>
      <sheetData sheetId="2"/>
      <sheetData sheetId="3"/>
      <sheetData sheetId="4">
        <row r="36">
          <cell r="H36">
            <v>19475120.165946875</v>
          </cell>
        </row>
      </sheetData>
      <sheetData sheetId="5"/>
      <sheetData sheetId="6">
        <row r="18">
          <cell r="I18">
            <v>912232</v>
          </cell>
        </row>
        <row r="22">
          <cell r="I22">
            <v>1486209</v>
          </cell>
        </row>
      </sheetData>
      <sheetData sheetId="7">
        <row r="3">
          <cell r="A3" t="str">
            <v>Row Labels</v>
          </cell>
        </row>
      </sheetData>
      <sheetData sheetId="8"/>
      <sheetData sheetId="9">
        <row r="63">
          <cell r="K63">
            <v>33964999.899999999</v>
          </cell>
        </row>
        <row r="71">
          <cell r="K71">
            <v>207947528.66493863</v>
          </cell>
        </row>
      </sheetData>
      <sheetData sheetId="10"/>
      <sheetData sheetId="11"/>
      <sheetData sheetId="12"/>
      <sheetData sheetId="13"/>
      <sheetData sheetId="14">
        <row r="21">
          <cell r="P21">
            <v>1156704</v>
          </cell>
        </row>
        <row r="61">
          <cell r="P61">
            <v>93585938.648681045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CD "/>
      <sheetName val="26 thtb"/>
      <sheetName val="final tb"/>
      <sheetName val="tbbbbb"/>
      <sheetName val="full final tb"/>
      <sheetName val="TB_02.12.15"/>
      <sheetName val="Power"/>
      <sheetName val="EXCISERECO'14-15"/>
      <sheetName val="Excise Duty on Fixed Assets"/>
      <sheetName val="Qty Reco"/>
      <sheetName val="Index"/>
      <sheetName val="FH"/>
      <sheetName val="DR"/>
      <sheetName val="Cntrl Sht Sept. 2014"/>
      <sheetName val="RESULT-BS"/>
      <sheetName val="Trial Balance (2)"/>
      <sheetName val="march 2016"/>
      <sheetName val="Sheet5"/>
      <sheetName val="COI -efiling"/>
      <sheetName val="Balance Sheet"/>
      <sheetName val="CF "/>
      <sheetName val="PIVOT"/>
      <sheetName val="Result-2"/>
      <sheetName val="10 Dep Co"/>
      <sheetName val="Sheet3"/>
      <sheetName val="Sheet4"/>
      <sheetName val="Control Sheet"/>
      <sheetName val="Highlights"/>
      <sheetName val="Ratios"/>
      <sheetName val="Sheet6"/>
      <sheetName val="27-5-2016"/>
      <sheetName val="Sheet7"/>
      <sheetName val="8-06-2016"/>
      <sheetName val="DT 16"/>
      <sheetName val="COI"/>
      <sheetName val="COI  e filing"/>
      <sheetName val="Result"/>
      <sheetName val="TB New"/>
      <sheetName val="NEW 3CD"/>
      <sheetName val="Ann A"/>
      <sheetName val="Ann B"/>
      <sheetName val="Ann . C"/>
      <sheetName val="Ann D"/>
      <sheetName val="ANN-E"/>
      <sheetName val="Unsecured Loan"/>
      <sheetName val="Ann. F"/>
      <sheetName val="Ann G"/>
      <sheetName val="Ann. H"/>
      <sheetName val="Ann. G"/>
      <sheetName val="tb 29.05.2017"/>
      <sheetName val="FG Value"/>
      <sheetName val="Trial Balance"/>
      <sheetName val="Sheet1"/>
      <sheetName val="STOCK"/>
      <sheetName val="RESULT March 14"/>
      <sheetName val="Sheet3 (2)"/>
      <sheetName val="Analysis"/>
      <sheetName val="Adv"/>
      <sheetName val="St Value"/>
      <sheetName val="Yield"/>
      <sheetName val="Advance To Capital Goods"/>
      <sheetName val="AS 28"/>
      <sheetName val="Interest"/>
      <sheetName val="loss on fire"/>
      <sheetName val="tb 02.05.2017"/>
      <sheetName val="Cash Note"/>
      <sheetName val="MSEB"/>
      <sheetName val="working Note 37"/>
      <sheetName val="tb 24.05.2017"/>
      <sheetName val="Sheet2"/>
      <sheetName val="QTLY RESULT"/>
      <sheetName val="ANN-E (2)"/>
      <sheetName val="Ann. H (2)"/>
      <sheetName val="Cash Flow"/>
      <sheetName val="Results 1"/>
      <sheetName val="Results 2"/>
      <sheetName val="1"/>
      <sheetName val="Q1 Result"/>
      <sheetName val="FA As per Co. Act"/>
      <sheetName val="Debtors Creditors"/>
      <sheetName val="Computation"/>
      <sheetName val="DT sep17"/>
      <sheetName val="Dep as Income Tax"/>
      <sheetName val="FA AS per CA"/>
      <sheetName val="Adjustment 2017-18"/>
      <sheetName val="Adjustment1516"/>
      <sheetName val="Adjustment1617"/>
      <sheetName val="TB New (2)"/>
      <sheetName val="CMA"/>
      <sheetName val="DT"/>
      <sheetName val="Q1 TB"/>
      <sheetName val="TB210518"/>
      <sheetName val="TB JAN18"/>
      <sheetName val="ind AS reco"/>
      <sheetName val="IND AS "/>
      <sheetName val="TB31032018"/>
      <sheetName val="TB150518"/>
      <sheetName val="TB200518"/>
      <sheetName val="Queries"/>
      <sheetName val="Sheet8"/>
      <sheetName val="Sheet9"/>
      <sheetName val="Sheet10"/>
      <sheetName val="Production"/>
      <sheetName val="Sundaram T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78">
          <cell r="E78">
            <v>454903714</v>
          </cell>
        </row>
        <row r="519">
          <cell r="B519" t="str">
            <v>Contribution to Funds</v>
          </cell>
        </row>
        <row r="538">
          <cell r="B538" t="str">
            <v>Raw Material Sorting Charges</v>
          </cell>
        </row>
        <row r="541">
          <cell r="B541" t="str">
            <v>Finished Goods Packing and Allied Charges</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metnal"/>
      <sheetName val="HONOTES"/>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ustubh Aurangabadkar" refreshedDate="45071.810642245371" createdVersion="7" refreshedVersion="8" minRefreshableVersion="3" recordCount="494" xr:uid="{00000000-000A-0000-FFFF-FFFF00000000}">
  <cacheSource type="worksheet">
    <worksheetSource ref="A3:P497" sheet="TB Final"/>
  </cacheSource>
  <cacheFields count="16">
    <cacheField name="PARTICULARS" numFmtId="0">
      <sharedItems count="494">
        <s v="A K R G &amp; Associates, Nagpur"/>
        <s v="Uttej Polymers &amp; Chemicals"/>
        <s v="Advance Custom Duty"/>
        <s v="AMASHA LTD"/>
        <s v="ANISH TRADERS"/>
        <s v="ASJ Consultancy Pvt. Ltd."/>
        <s v="AVADHOOT PACKAGING SOLUTIONS PVT LTD."/>
        <s v="AVADHOOT PACKAGING SOLUTIONS PVT LTD[ WP]"/>
        <s v="Blue International Trading LLC"/>
        <s v="Cancelled Sales Invoice"/>
        <s v="CGST PAYABLE (F.Y. 2022-23)"/>
        <s v="CGST RECEIVABLE (F.Y. 2022-23)"/>
        <s v="Deposit with SBI 9 Lac  [MSEB 36la] A/c 41131339460"/>
        <s v="Eastern Bearings Pvt. Ltd."/>
        <s v="Eetamax Energy Solutions Pvt. Ltd."/>
        <s v="Freight on Other Expenses"/>
        <s v="Garima Maheshwari"/>
        <s v="GST TAX Paid on Assesment"/>
        <s v="HARIWANSH PACKAGING PRODUCT[WP]"/>
        <s v="IGST PAYABLE (F.Y. 2022-23)"/>
        <s v="IGST RECEIVABLE (F. Y. 2022-23)"/>
        <s v="Income Tax Refund (A.Y. 2022-23)"/>
        <s v="Interest on Staff Professional Tax"/>
        <s v="Ishwar Nagose"/>
        <s v="Kailashchandra P. Agrawal (Loan A/c)"/>
        <s v="Maroti Katlam"/>
        <s v="Nagpur Techno Marketing P. Ltd."/>
        <s v="OMPRAKASH D. RATHI (Loan A/c)"/>
        <s v="Parason Machinery (I) Pvt. Ltd."/>
        <s v="Payable to Legal &amp; Proff"/>
        <s v="P.M.Logistics"/>
        <s v="Professional Tax Payable"/>
        <s v="Purchase Exp. : Husk"/>
        <s v="Raju Kukde"/>
        <s v="Ramjan Transport"/>
        <s v="RAMKRISHNA FIBERS PVT LTD"/>
        <s v="REMONDIS TRADE &amp; SALES GMBH"/>
        <s v="Riddhi Corporation, Surat"/>
        <s v="Right Issue Share Expenses"/>
        <s v="R.K. Engineering Services"/>
        <s v="Sai Baba Refrigeration"/>
        <s v="Sales Tax Assessment Expenses"/>
        <s v="S.B.I. Add.Term  Loan (1.40lac)A/c.No.41345851422"/>
        <s v="SGST PAYABLE (F.Y. 2022-23)"/>
        <s v="SGST RECEIVABLE (F.Y. 2022-23)"/>
        <s v="S.R. CORE AND CONES"/>
        <s v="Summit Enterprise"/>
        <s v="Suryoday Textile Factory"/>
        <s v="Tcs (0.1%)"/>
        <s v="T C S ( A.Y. 2023-24)"/>
        <s v="TDS (A.Y. 2023-24)"/>
        <s v="TDS on Purchase @ .1%"/>
        <s v="Tds Receivable F.Y. 2022-23"/>
        <s v="Turnkey Inc."/>
        <s v="Ultraaweather Engineering Services"/>
        <s v="United  Pipe Traders"/>
        <s v="Virendra Prasad Yadav"/>
        <s v="WAHEGURU ENTERPRISES"/>
        <s v="Walter Advisors Pvt Ltd"/>
        <s v="W M RECYCLE AMERICA LLC"/>
        <s v="WTE Infra Projects Pvt. Ltd."/>
        <s v="MNS Credit Management Group Pvt Ltd"/>
        <s v="SHUBHAM ENTERPRISES (SALE)"/>
        <s v="ANAMIKA TRADERS(SALES)"/>
        <s v="Seion Enterprises"/>
        <s v="Pratik Enterprises"/>
        <s v="ANAMIKA TRADERS [ WP ]"/>
        <s v="Maheshwari Agency"/>
        <s v="Aayush Chem"/>
        <s v="NAV DURGA BOILER &amp; EQUIPMENTS P. LTD."/>
        <s v="CENTRAL SCIENTIFIC CO."/>
        <s v="Advertisement Expenses"/>
        <s v="AJANTA KRAFT"/>
        <s v="ACCURATE SALES AGENCIES"/>
        <s v="ALIGN COMPONENTS (P) LTD., (BU-II)"/>
        <s v="Advance Ag, Clearing-Frwd :OCC"/>
        <s v="Sudhakar Raut"/>
        <s v="Nitin Thakre"/>
        <s v="CANUSA HERSHMAN RECYCLING CO."/>
        <s v="Cellmark Netherlands B.V."/>
        <s v="Amruta Enterprises, Nagpur"/>
        <s v="SAVITRI ENTERPRISES"/>
        <s v="MAERSK LINE INDIA PVT LTD"/>
        <s v="MSC Mediterranean Shipping Company S.A."/>
        <s v="DR. B. P. TAORI"/>
        <s v="Anilkumar M. Lakhotiya (Loan A/C)"/>
        <s v="Anita Lakhotiya"/>
        <s v="Festival Expenses"/>
        <s v="Annual Custody Fees"/>
        <s v="Annual Listing Fees"/>
        <s v="Prior Period Expenses"/>
        <s v="Audit Expenses (Darak)"/>
        <s v="GST Annual Return Fees Payable"/>
        <s v="Audit Fees Payable"/>
        <s v="Bad Debts"/>
        <s v="Balaji Enterprises"/>
        <s v="Baljit Kaur Manindersingh Saini"/>
        <s v="Bank Commission &amp; Charges"/>
        <s v="CSR (CORPORATE SOCIAL RESPONSIBILITY)"/>
        <s v="Bank Facility Charges"/>
        <s v="BANK GUARANTEE CHARGES"/>
        <s v="Bearing Centre"/>
        <s v="ANANT SHREE AGENCY"/>
        <s v="BHOLANATH MITRA"/>
        <s v="Boiler Fireman  (Feeding Charges)"/>
        <s v="Books News Paper &amp; Perodicals"/>
        <s v="Building"/>
        <s v="Capital Reserves"/>
        <s v="Interest on TCS"/>
        <s v="Carriage Inward : Machinery Rep&amp;Maint"/>
        <s v="Carriage Inward { Store }"/>
        <s v="Carriage Outward Machinery"/>
        <s v="Cash"/>
        <s v="CGST @ 6 % SALES"/>
        <s v="SGST @  6% SALES"/>
        <s v="CHANDRA COAL PVT. LTD. (SALE)"/>
        <s v="CHANDRA SALES CORPORATION(SALE)"/>
        <s v="Chemical Purchase"/>
        <s v="Clearing &amp; Forwarding to Transit OCC"/>
        <s v="Chowdhary Packagers"/>
        <s v="CIPARO B.V."/>
        <s v="Clearing &amp; Forwarding on WP Import"/>
        <s v="Coal Purchase"/>
        <s v="Computer"/>
        <s v="Consultation Charges"/>
        <s v="CONTAINER CORPORATION OF INDIA LTD"/>
        <s v="Contribution to ESIC Payable"/>
        <s v="Contribution To P.F. Payable"/>
        <s v="Conveyance Expenses"/>
        <s v="Conveyance To Directors"/>
        <s v="COSMIC CORPORATION"/>
        <s v="Courier &amp; Postage Charges"/>
        <s v="Covid-19 Expenses (Corona)"/>
        <s v="Deekay &amp; Company"/>
        <s v="Deferred Tax Liabilities (Net)"/>
        <s v="Deposit for  COAL to MSMC"/>
        <s v="Deposit for LPG Domestic Cylender Connection"/>
        <s v="Deposit with SBI for Custom 8.25 Lac BG[Rs. 206250]"/>
        <s v="Deposit with Import (OCC)"/>
        <s v="Deposit with M.S.E.B."/>
        <s v="Deposit With SBI for MPCB 5 Lac BG [Rs.1,25,000]"/>
        <s v="Deposits For Office Premises"/>
        <s v="Deposits For Telephone"/>
        <s v="Deposits Group Gratuity Fund (New Policy 707003372)"/>
        <s v="Deposits Group Gratuity Fund (Policy No. 707000291)"/>
        <s v="Depreciation Electrical Installation"/>
        <s v="Depreciation On Building"/>
        <s v="Depreciation On Computer"/>
        <s v="Depreciation on Furniture &amp; Fixture"/>
        <s v="Depreciation on Office Equipment"/>
        <s v="Depreciation On Plant &amp; Machinery"/>
        <s v="Depreciation on Vehicle"/>
        <s v="CHANDRASHEKHAR JAPULKAR"/>
        <s v="Dhawal Dinesh Kawade"/>
        <s v="DILIPKUMAR PATEL"/>
        <s v="Directors Sitting Fees"/>
        <s v="Discount &amp; Billing Diff Account (HSN/SAC: 4804)"/>
        <s v="SALES A/C INTERASTATE"/>
        <s v="DISTRIBUTION LOGISTICS INFRASTRUCTURE PVT.LTD."/>
        <s v="Donation Account"/>
        <s v="Drashta Power Consultants Pvt. Ltd."/>
        <s v="DURGA INDUSTRIAL  SECURITY, NAGPUR"/>
        <s v="Durga Traders"/>
        <s v="Electrical Installation"/>
        <s v="Equity Share Capital"/>
        <s v="ESIC (Employees State Insurance Corpn)"/>
        <s v="E-Voting Expenses"/>
        <s v="Insurance Premium in Group Gratuity"/>
        <s v="Exempted Ag.Chemical Purchase"/>
        <s v="Export Expenses for Clearing &amp; Forwarding"/>
        <s v="EXPORT SALE"/>
        <s v="Factory Cleaning Charges"/>
        <s v="Factory Misc Expenses"/>
        <s v="Factory Power &amp; Electricity Charges"/>
        <s v="Factory Tea &amp; Other Expenses"/>
        <s v="Fees To Registrar"/>
        <s v="Finished Goods Expenses"/>
        <s v="Finished Goods Packing &amp; Allied Charges"/>
        <s v="Finished Goods Packing &amp; Allied Payable"/>
        <s v="For BG[MSEB] 12.50 LAC :A/c 35633066338"/>
        <s v="Foreign Exchange Fluctuation"/>
        <s v="Franking Charges for Import O.C.C."/>
        <s v="Freehold Land"/>
        <s v="Furniture &amp; Fixture"/>
        <s v="Ganpat Steel Industries"/>
        <s v="General Reserves"/>
        <s v="Globe Engineering Company"/>
        <s v="Gratuity To Staff"/>
        <s v="Green Agro Industries"/>
        <s v="GST ANNUAL RETURN CHARGES"/>
        <s v="GST ANNUAL FEES F.Y. 2021-22"/>
        <s v="Payable to GST Annual Fees F.Y.21-22"/>
        <s v="GST Audit Fees Payable"/>
        <s v="GST E-Return Charges"/>
        <s v="Gupta Machinery Stores, Nagpur"/>
        <s v="Hazelkaur Manindersingh Saini"/>
        <s v="Hemant Mahure"/>
        <s v="Hindustan Mill Stores, Nagpur"/>
        <s v="House Rent"/>
        <s v="Import Waste Paper Purchase"/>
        <s v="Incentive/ Bonus Payable"/>
        <s v="Incentive/ Bonus to Staff"/>
        <s v="Inder Trade &amp; Industry, Bikaner"/>
        <s v="Insurance Charges For Marine"/>
        <s v="Insurance Charges To Other"/>
        <s v="Insurance Claim Receivable( Accident Claim)"/>
        <s v="Insurance Pre-Paid"/>
        <s v="Interest Receivable on Power"/>
        <s v="Interest  From Bank (F.D.)"/>
        <s v="Interest on Add.T/L (1.5Cr)...6669"/>
        <s v="Interest on Bank Term Loan ( 2 Cr.)...0563"/>
        <s v="Interest on CGST"/>
        <s v="Interest On Custom Duty"/>
        <s v="Interest On IGST"/>
        <s v="Interest on Income Tax"/>
        <s v="INTEREST ON PROFESSIONAL TAX"/>
        <s v="Interest on SGST"/>
        <s v="Interest On Tds"/>
        <s v="Interest To Bank"/>
        <s v="Interest To Others"/>
        <s v="Internal Audit Fees (Khandelwal)"/>
        <s v="J.S.M. Marketing, Nagpur"/>
        <s v="SHREE ENTERPRISES [WP]"/>
        <s v="JAI MAHALAXMI ENTERPRISES"/>
        <s v="Supreme Elmech Pvt. Ltd."/>
        <s v="Jarnailsingh Saini (Loan A/c)"/>
        <s v="Jenson Trading Corporation"/>
        <s v="Jitendra Nikhare"/>
        <s v="K.R.V. Express"/>
        <s v="Kailash Kaur Jarnailsingh Saini"/>
        <s v="KARAN ENTERPRISES (WP)"/>
        <s v="KEDAR PAPER CONVERSIONS"/>
        <s v="Kunal Jain"/>
        <s v="L.I.C. Payable"/>
        <s v="Labour Welfare Fund"/>
        <s v="Lakhotiya Traders Pvt. Ltd. (Sale)"/>
        <s v="Late Fee"/>
        <s v="Leave Encashment"/>
        <s v="Leave Encashment Payable"/>
        <s v="Legal &amp; Proffessional  Charges"/>
        <s v="Maa Tarini Traders"/>
        <s v="Machinery Exp for Boiler Material BED"/>
        <s v="Machinery Repair &amp; Maint Diesel Exp."/>
        <s v="Machinery Repair &amp; Maint To Electrical"/>
        <s v="Machinery Repair &amp; Maintenance"/>
        <s v="Maharashtra State Mining Corp. Ltd."/>
        <s v="Mahesh Mirashe"/>
        <s v="Makharia Machineries Pvt. Ltd."/>
        <s v="Manish Computer"/>
        <s v="Manoj Gore"/>
        <s v="Medical Aids To Staff"/>
        <s v="Membership &amp; Subscription"/>
        <s v="Mohd. Anish Abdul Aziz"/>
        <s v="Narayan Auto Part Service"/>
        <s v="Nilkanth Nikhare"/>
        <s v="Office Cleaning Charges"/>
        <s v="Office Electricity Charges"/>
        <s v="Office Equipment"/>
        <s v="Office Misc. Expenses"/>
        <s v="Office Rent"/>
        <s v="Office Tea &amp; Other Exp."/>
        <s v="OM SAI ENGINEERING"/>
        <s v="Opening Stock"/>
        <s v="ORIGAMI CELLULO PVT.LTD."/>
        <s v="Other Charges : Chemical"/>
        <s v="Other Charges : Chemical (NON-GST)"/>
        <s v="Other Charges : Coal"/>
        <s v="Other Charges : Packing Material"/>
        <s v="Other Import OCC Expenses"/>
        <s v="PACKING CHARGES"/>
        <s v="Packing Material Purchase"/>
        <s v="PACKSAFE"/>
        <s v="PANCHSHEEL TRADING CORPN., NAGPUR"/>
        <s v="Payable to Boiler Fireman Charges"/>
        <s v="Payable To Raw Material Sorting"/>
        <s v="Payable Waste Paper Feeding Charges"/>
        <s v="PENALTY ON CGST"/>
        <s v="Penalty on TDS"/>
        <s v="Penalty on Custom Duty"/>
        <s v="PENALTY ON SGST"/>
        <s v="Penalty to Compliance (MSEI)"/>
        <s v="Plant &amp; Machinery"/>
        <s v="Pooja Expenses"/>
        <s v="Metropolitan Stock Exchange of India(MSEI)"/>
        <s v="Power &amp; Electricity Payable"/>
        <s v="Remuneration Payable"/>
        <s v="Omprakash D. Rathi (Remuneration)"/>
        <s v="PRANSHU PAPER PVT. LTD."/>
        <s v="Pre-Paid Renewal &amp; Registration"/>
        <s v="Interest Receivable"/>
        <s v="Professional Fees"/>
        <s v="Professional Tax"/>
        <s v="Profit &amp; Loss A/C"/>
        <s v="Other Comprehensive Income"/>
        <s v="Profit on Sales Tax Under P.S.I.Scheme"/>
        <s v="Provident Fund Contribution Exp."/>
        <s v="Provision for Acturial Gratuity"/>
        <s v="Provision for Depreciation Building"/>
        <s v="Provision For Depreciation Computer"/>
        <s v="Provision For Depreciation Electrical Installation"/>
        <s v="Provision for Depreciation Factory Building"/>
        <s v="Provision For Depreciation Furniture &amp; Fixture"/>
        <s v="Provision For Depreciation Office Equipment"/>
        <s v="Provision For Depreciation Plant &amp; Machinery"/>
        <s v="Provision For Depreciation Vehicle"/>
        <s v="Provision for I.T, A.Y.2017-18"/>
        <s v="Advance Income Tax (A.Y.2022-23)"/>
        <s v="Income Tax Receivable (Refund)"/>
        <s v="Provision For I.T. A.Y, 2005-06"/>
        <s v="Income Tax Refunf A.Y. 2020-21"/>
        <s v="Provision for I.T. A.Y, 2013-14"/>
        <s v="Provision for I.T. A.Y. 2008-09"/>
        <s v="Provisions For Gratuity Payable"/>
        <s v="PSI Under Sales Tax Deferal Receivable"/>
        <s v="Punjab Machine Tools"/>
        <s v="Purchase Expenses : Chemical"/>
        <s v="Purchase Expenses : Coal"/>
        <s v="Purchase Expenses : Packing Material"/>
        <s v="Purchase Import in Transit"/>
        <s v="Purchase Of Store"/>
        <s v="Agrawal Sales Corporation"/>
        <s v="R.C.CORRUPACK PVT. LTD."/>
        <s v="R.S. Kraft Papers Ltd"/>
        <s v="Raghav Enterprises"/>
        <s v="Rajesh Gas Agencies"/>
        <s v="Rates &amp; Taxes"/>
        <s v="Raw Material Sorting Charges"/>
        <s v="RCM CGST PAYABLE"/>
        <s v="RCM IGST PAYABLE"/>
        <s v="RCM SGST PAYABLE"/>
        <s v="IGST @ 12 % SALES"/>
        <s v="CGST @ 9% on OCC Expenses"/>
        <s v="SGST @ 9% on OCC Expenses"/>
        <s v="Remuneration To Directors"/>
        <s v="Renewal &amp; Registration Expenses"/>
        <s v="Repair &amp; Maint. To Building"/>
        <s v="Repair &amp; Maintenance to Other Assets"/>
        <s v="Revaluation Reserve"/>
        <s v="ROC Filing Charges"/>
        <s v="ROUNAK STEEL"/>
        <s v="Round Offf"/>
        <s v="S.B.I. Indl.Fin.Br. Trustee HPML Empl.G.G.Scheme"/>
        <s v="Sachin Dehankar"/>
        <s v="Safety Packagers (P) Ltd."/>
        <s v="Saini Transport Co."/>
        <s v="Salary Payable"/>
        <s v="Salary to Company Secretary"/>
        <s v="Salary To Factory Adm. Staff"/>
        <s v="Salary To Office Staff"/>
        <s v="Salary To Other Factory Staff"/>
        <s v="Sale Transit Insurance @0.30%"/>
        <s v="SALES A/C GST"/>
        <s v="Sanjamkaur Saini"/>
        <s v="Sartaj Manindersingh Saini"/>
        <s v="Securities Premium (351165@25)"/>
        <s v="Security Service Charges"/>
        <s v="SEZ SALE (SPECIAL ECONOMIC ZONE)"/>
        <s v="Shankar Traders (Sale)"/>
        <s v="SHREE FLEX PRINT PVT.LTD."/>
        <s v="SHREE INDUSTRIES"/>
        <s v="Shri Balaji Tradelink"/>
        <s v="SHUBHAM ENTERPRISES"/>
        <s v="Site Development Expenses (Gardening)"/>
        <s v="SIZE REBATE"/>
        <s v="Snehlata A. Lakhotiya"/>
        <s v="Staff Profession Tax Payable"/>
        <s v="State Bank Of India C.C.,Sme Br."/>
        <s v="State Compensation on Cess"/>
        <s v="Stationery &amp; Printing Charges"/>
        <s v="Statutory Audit Fees (Darak &amp; Asso)"/>
        <s v="Stock Audit Bank Charges"/>
        <s v="Sumed Borkar"/>
        <s v="Summit Agencies"/>
        <s v="Sundry Balance W/Off"/>
        <s v="Sunil Nate"/>
        <s v="Suryakant Sadawarti"/>
        <s v="Tanisha Resins P. Ltd., Nagpur"/>
        <s v="Tds  Payable On  Professional"/>
        <s v="TCS Payable ON SALES ( 6 CR)"/>
        <s v="Tds Payable  On Office Rent"/>
        <s v="TDS Payable Dealers Commission"/>
        <s v="Tds Payable On Contractors"/>
        <s v="Tds Payable On Interest"/>
        <s v="Tds Payable On Salary"/>
        <s v="TDS Payable on Transporter"/>
        <s v="TDSPAYABLE ON REMUNERATION"/>
        <s v="Telephone Charges"/>
        <s v="Telephone Charges Payable"/>
        <s v="Testing &amp; Inspection Fees"/>
        <s v="Trade Discount"/>
        <s v="Travelling Expenses"/>
        <s v="Unipack"/>
        <s v="UNIPACK (SALE)"/>
        <s v="Urd Purchase  On Waste Paper"/>
        <s v="Ari Armaturen Steamline LLP,Pune"/>
        <s v="ARYAN PACKAGING INDUSTRIES"/>
        <s v="Balaji Medical Stores"/>
        <s v="CARRIAGE OUTWARD (SALE)"/>
        <s v="CGST PAYABLE (F.Y. 2021-22)"/>
        <s v="Chaitanya Constructions PY"/>
        <s v="Chaitanya Constructions"/>
        <s v="Choudhary Trading Company"/>
        <s v="Commission on Sales"/>
        <s v="Conquest Enterprises"/>
        <s v="CSR F.Y. 2019-20"/>
        <s v="CUSTOM DUTY A/C."/>
        <s v="Custom Duty Exp Ag.Transit OCC"/>
        <s v="Custom Duty Payable"/>
        <s v="Discount &amp; Billing Diff. On Sales"/>
        <s v="DP Papertech, Pune"/>
        <s v="Earlier Tax Paid"/>
        <s v="ELE+MECH ENGINEERING SOLUTIONS"/>
        <s v="For Addl.FD[MSEB] 2.5Lac: A/c 40198297304"/>
        <s v="FREIGHT CHARGES"/>
        <s v="Gaurav Lakhotiya (Loan A/c)"/>
        <s v="Global Technologies P. Y. "/>
        <s v="Global Technologies"/>
        <s v="Highrise Transformer"/>
        <s v="I G S T PAYABLE ( F. Y. 2021-22 )"/>
        <s v="I G S T RECEIVABLE ( F.Y. 2021-22 )"/>
        <s v="I-Kcal Systems Engineering LLP P.Y."/>
        <s v="I-Kcal Systems Engineering LLP"/>
        <s v="Incentive/ Bonus to Contractor"/>
        <s v="Indian Machinery Store"/>
        <s v="Indian Traders"/>
        <s v="Insurance Claim Receivable"/>
        <s v="Interest On Local Body Tax"/>
        <s v="Interest to Bank on T/L ( 73 Lakhs)....9457"/>
        <s v="LAKHOTIYA TRADERS [WP]"/>
        <s v="NARESH CHARDE"/>
        <s v="OSWAL UDHYOG"/>
        <s v="Paharpur Cooling Towers Limited"/>
        <s v="Polypick Engineers Pvt. Ltd., Indore"/>
        <s v="Prakash Kupale"/>
        <s v="Pre-Operative Expenses on Elect Installation"/>
        <s v="OTHER EQUIPMENTS"/>
        <s v="Pre-Operative Exp. on Machinery"/>
        <s v="Pre-Operative (Intt &amp; Other ) Expenses"/>
        <s v="Pre-Operative Travelling Expenses"/>
        <s v="PURCHASE  OF HUSK"/>
        <s v="Rishi Kumar Yadav"/>
        <s v="RoDTEP (Export Incentive Scheme) Claim Receivable"/>
        <s v="R.S.KRAFT PAPERS PVT LTD"/>
        <s v="MANGAL  PAPERS"/>
        <s v="Satish Kalbande"/>
        <s v="S.B.I. ( COVID) A/C. 40590939457 (GECL30%) 73 Lakh"/>
        <s v="S. B I. TERM LOAN  ( 7.75 Cr) A/c 40667225452"/>
        <s v="Seema Enterprises [WP]"/>
        <s v="SGST PAYABLE (F.Y.2021-22)"/>
        <s v="SHRINIWAS ENTERPRISES"/>
        <s v="SHRI RAM PACKERS"/>
        <s v="S S Controls"/>
        <s v="Stamp Paper &amp; Notary Charges"/>
        <s v="Subhash Shirsagar"/>
        <s v="Sunil Nagose"/>
        <s v="T C S F. Y. 2021-22"/>
        <s v="TDS ( A.Y. 2022-23)"/>
        <s v="TDS Payable on Purchase (194Q)"/>
        <s v="Tds Receivable F.Y. 2021-22"/>
        <s v="VIJAY TRADERS WP"/>
        <s v="Vimta Labs Limited"/>
        <s v="W-I-P ELECTRICAL INSTALLATION"/>
        <s v="W I P OTHER EQUIPMENTS"/>
        <s v="W - I - P Power Plant"/>
        <s v="Urd Purchase On Packing Material"/>
        <s v="Uttam Shetty &amp; Co"/>
        <s v="Vaibhav Enterprises"/>
        <s v="Dashmesh Dhaba (Kondhali Restaurnt)"/>
        <s v="Girish Murarka &amp; Co., Mumbai"/>
        <s v="Interest on GECLBank T/L (1.46 Cr).....1281"/>
        <s v="Jai Hanuman Industries, Nagpur"/>
        <s v="JAYSHREE INDUSTRIES"/>
        <s v="Lathia Rubber Mfg Co Pvt Ltd [Unit : Vapi]"/>
        <s v="NAGPUR AUTO SERVICES"/>
        <s v="S.A. ENTERPRISES"/>
        <s v="S.B.I. ( GECL)  Term Loan A/c 39366011281(1.46 Cr)"/>
        <s v="Vehicle"/>
        <s v="Vehicle Diesel Expenses"/>
        <s v="Vehicle Repair &amp; Maintenance"/>
        <s v="Vidhanis Tradelink Pvt. Ltd."/>
        <s v="Voith Paper Fabrics India Ltd."/>
        <s v="Walter &amp; Associates, Mumbai"/>
        <s v="Waste Desposable Expenses(Plastic Dispose)"/>
        <s v="Waste Paper Feeding  Charges"/>
        <s v="Waste Paper Purchase"/>
        <s v="Western Coal Fields Ltd."/>
        <s v="W-I-P Building"/>
        <s v="W-I-P Plant &amp; Machinery"/>
        <s v="Xerox Charges"/>
        <s v="YASH COMMERCIALS"/>
        <s v="Kessels Engineering Works Pvt. Ltd. P.Y."/>
        <s v="Kessels Engineering Works Pvt. Ltd."/>
        <s v="AAR Tech Engineering P.Y."/>
        <s v="AAR Tech Engineering"/>
      </sharedItems>
    </cacheField>
    <cacheField name="Note" numFmtId="164">
      <sharedItems containsString="0" containsBlank="1" containsNumber="1" containsInteger="1" minValue="2" maxValue="27" count="24">
        <n v="17"/>
        <n v="10"/>
        <n v="6"/>
        <n v="13"/>
        <n v="21"/>
        <n v="19"/>
        <n v="3"/>
        <m/>
        <n v="27"/>
        <n v="11"/>
        <n v="9"/>
        <n v="4"/>
        <n v="26"/>
        <n v="2"/>
        <n v="12"/>
        <n v="7"/>
        <n v="23"/>
        <n v="15"/>
        <n v="14"/>
        <n v="25"/>
        <n v="22"/>
        <n v="20"/>
        <n v="18"/>
        <n v="16"/>
      </sharedItems>
    </cacheField>
    <cacheField name="BS Main Head" numFmtId="43">
      <sharedItems count="28">
        <s v="Trade Payables"/>
        <s v="Other Current Assets"/>
        <s v="Financial Assets"/>
        <s v="Long Term Borrowings"/>
        <s v="Revenue From Operations"/>
        <s v="Other Current Liabilities"/>
        <s v="Other Financial Assets - Non Current"/>
        <s v="Other - Manufacturing Expenses"/>
        <s v="Other - Establishment Expenses"/>
        <s v="Current Tax Assets"/>
        <s v="Other Financial Assets"/>
        <s v="Other Non Current Assets"/>
        <s v="Other - Selling &amp; Distribution Expenses"/>
        <s v="Finance Costs"/>
        <s v="Property, Plant and Equipment"/>
        <s v="Reserves &amp; Surplus"/>
        <s v="Cash and cash Equivalents"/>
        <s v="Raw Material Consumed"/>
        <s v="Deferred Tax Liabilities "/>
        <s v="Non Current - Provisions"/>
        <s v="Depreciation &amp; Amortisation"/>
        <s v="Employee Benefit Expenses"/>
        <s v="Share Capital"/>
        <s v="Other Income"/>
        <s v="Short Term Provisions"/>
        <s v="opening stock"/>
        <s v="Other Financial Liabilities - Current"/>
        <s v="Short Term Borrowings"/>
      </sharedItems>
    </cacheField>
    <cacheField name="BS Sub Head" numFmtId="43">
      <sharedItems count="82">
        <s v="Trade Payables - Others"/>
        <s v="Trade Payables"/>
        <s v="Advance to Suppliers"/>
        <s v="Trade Receivables"/>
        <s v="Unsecured-From Others"/>
        <s v="Sale of Goods - Manufacturing Sales"/>
        <s v="GST"/>
        <s v="Balance with Bank in Deposit Accounts"/>
        <s v="Trade Payables for capital goods"/>
        <s v="Factory Expenses"/>
        <s v="Unsecured-From Related Party"/>
        <s v="General Expenses"/>
        <s v="Advance Income Tax"/>
        <s v="Loans and Advances to Employees"/>
        <s v="Profession Tax"/>
        <s v="Power and Fuel"/>
        <s v="Secured - From Banks - Term Loan"/>
        <s v="Advance For Capital Goods"/>
        <s v="Advertisement Expenses"/>
        <s v="Listing Expenses"/>
        <s v="Audit Expenses"/>
        <s v="Bad Debts"/>
        <s v="Bank Commission &amp; Charges"/>
        <s v="CSR Expenses"/>
        <s v="Other Borrowing Costs"/>
        <s v="Office Expenses"/>
        <s v="Tangible Asset"/>
        <s v="Capital Reserve"/>
        <s v="Rates &amp; Taxes"/>
        <s v="Repairs &amp; Maintainence - Machinery"/>
        <s v="Cash On Hand"/>
        <s v="Raw Material Purchase"/>
        <s v="Legal and Professional Charges"/>
        <s v="Statutory Dues"/>
        <s v="Travelling and Conveyance Expense"/>
        <s v="Deferred Tax Liability"/>
        <s v="Long Term Deposits"/>
        <s v="Provision for Employee Benefit"/>
        <s v="Depreciation"/>
        <s v="Salary &amp; Wages"/>
        <s v="Donation"/>
        <s v="Issued, Subscribed &amp; Paid Up"/>
        <s v="Contribution to Funds"/>
        <s v="Clearing &amp; Forwarding Expenses"/>
        <s v="Finished Goods Packing and Allied Charges"/>
        <s v="Foreign Exchange Fluctuation Gain on RM"/>
        <s v="General Reserve"/>
        <s v="Rent Expense"/>
        <s v="Insurance on Sales"/>
        <s v="Insurance Charges"/>
        <s v="Insurance claim Receivable"/>
        <s v="Prepaid Expenses"/>
        <s v="Interest Received"/>
        <s v="Interest Expenses"/>
        <s v="Internal Audit Fees"/>
        <s v="Staff Welfare Expenses"/>
        <s v="opening stock"/>
        <s v="Packing Material Purchase"/>
        <s v="Surplus"/>
        <s v="PSI Subsidy"/>
        <s v="Tangible Asset - PFD"/>
        <s v="Balance with Government Authorities"/>
        <s v="Stores &amp; Spares Consumed"/>
        <s v="Raw Material Sorting Charges"/>
        <s v="Repairs &amp; Maintainence - Building"/>
        <s v="Repairs &amp; Maintainence - Others"/>
        <s v="Balance With Bank - Current A/c"/>
        <s v="Employee Payables"/>
        <s v="Securities Premium"/>
        <s v="Security Service Charges"/>
        <s v="Secured - From Banks - Working Capital Loan"/>
        <s v="Printing &amp; Stationery"/>
        <s v="Statutory Audit Fees"/>
        <s v="Telephone Expenses"/>
        <s v="Freight on Sales"/>
        <s v="Commission on Sales"/>
        <s v="Custom Duty"/>
        <s v="Capital WIP"/>
        <s v="Import Claim Receivable"/>
        <s v="Repairs &amp; Maintainence - Vehicle"/>
        <s v="Waste Paper Feeding Charges"/>
        <s v="Deposits" u="1"/>
      </sharedItems>
    </cacheField>
    <cacheField name="Dr." numFmtId="43">
      <sharedItems containsString="0" containsBlank="1" containsNumber="1" minValue="0" maxValue="501477134.5"/>
    </cacheField>
    <cacheField name="Adj" numFmtId="43">
      <sharedItems containsString="0" containsBlank="1" containsNumber="1" containsInteger="1" minValue="0" maxValue="0"/>
    </cacheField>
    <cacheField name="Dr. Final 22-23" numFmtId="43">
      <sharedItems containsString="0" containsBlank="1" containsNumber="1" minValue="0" maxValue="501477134.5"/>
    </cacheField>
    <cacheField name="Cr." numFmtId="43">
      <sharedItems containsString="0" containsBlank="1" containsNumber="1" minValue="0" maxValue="930626444.45000005"/>
    </cacheField>
    <cacheField name="Adj2" numFmtId="43">
      <sharedItems containsString="0" containsBlank="1" containsNumber="1" minValue="-68765.660375000443" maxValue="191396.66984900087"/>
    </cacheField>
    <cacheField name="Cr. Final 22-23" numFmtId="43">
      <sharedItems containsSemiMixedTypes="0" containsString="0" containsNumber="1" minValue="0" maxValue="930626444.45000005"/>
    </cacheField>
    <cacheField name="Dr.2" numFmtId="43">
      <sharedItems containsString="0" containsBlank="1" containsNumber="1" minValue="0" maxValue="637901422.5"/>
    </cacheField>
    <cacheField name="Adj3" numFmtId="43">
      <sharedItems containsString="0" containsBlank="1" containsNumber="1" containsInteger="1" minValue="0" maxValue="0"/>
    </cacheField>
    <cacheField name="Dr. Final 21-22" numFmtId="43">
      <sharedItems containsString="0" containsBlank="1" containsNumber="1" minValue="0" maxValue="637901422.5"/>
    </cacheField>
    <cacheField name="Cr.2" numFmtId="43">
      <sharedItems containsString="0" containsBlank="1" containsNumber="1" minValue="0" maxValue="996978842.14999998"/>
    </cacheField>
    <cacheField name="Adj4" numFmtId="43">
      <sharedItems containsString="0" containsBlank="1" containsNumber="1" containsInteger="1" minValue="0" maxValue="0"/>
    </cacheField>
    <cacheField name="Cr. Final 21-22" numFmtId="43">
      <sharedItems containsString="0" containsBlank="1" containsNumber="1" minValue="0" maxValue="996978842.14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4">
  <r>
    <x v="0"/>
    <x v="0"/>
    <x v="0"/>
    <x v="0"/>
    <n v="0"/>
    <m/>
    <n v="0"/>
    <n v="73440"/>
    <m/>
    <n v="73440"/>
    <n v="0"/>
    <n v="0"/>
    <n v="0"/>
    <n v="63720"/>
    <n v="0"/>
    <n v="63720"/>
  </r>
  <r>
    <x v="1"/>
    <x v="0"/>
    <x v="0"/>
    <x v="1"/>
    <n v="0"/>
    <m/>
    <n v="0"/>
    <n v="0"/>
    <m/>
    <n v="0"/>
    <n v="0"/>
    <n v="0"/>
    <n v="0"/>
    <n v="377600"/>
    <n v="0"/>
    <n v="377600"/>
  </r>
  <r>
    <x v="2"/>
    <x v="1"/>
    <x v="1"/>
    <x v="2"/>
    <n v="0"/>
    <m/>
    <n v="0"/>
    <n v="0"/>
    <m/>
    <n v="0"/>
    <m/>
    <m/>
    <m/>
    <m/>
    <m/>
    <m/>
  </r>
  <r>
    <x v="3"/>
    <x v="0"/>
    <x v="0"/>
    <x v="1"/>
    <n v="0"/>
    <m/>
    <n v="0"/>
    <n v="2033181"/>
    <n v="-36025.617030000081"/>
    <n v="1997155.3829699999"/>
    <m/>
    <m/>
    <m/>
    <m/>
    <m/>
    <m/>
  </r>
  <r>
    <x v="4"/>
    <x v="2"/>
    <x v="2"/>
    <x v="3"/>
    <n v="1442225"/>
    <m/>
    <n v="1442225"/>
    <n v="0"/>
    <m/>
    <n v="0"/>
    <m/>
    <m/>
    <m/>
    <m/>
    <m/>
    <m/>
  </r>
  <r>
    <x v="5"/>
    <x v="3"/>
    <x v="3"/>
    <x v="4"/>
    <n v="0"/>
    <m/>
    <n v="0"/>
    <n v="7500000"/>
    <m/>
    <n v="7500000"/>
    <m/>
    <m/>
    <m/>
    <m/>
    <m/>
    <m/>
  </r>
  <r>
    <x v="6"/>
    <x v="2"/>
    <x v="2"/>
    <x v="3"/>
    <n v="2282129"/>
    <m/>
    <n v="2282129"/>
    <n v="0"/>
    <m/>
    <n v="0"/>
    <m/>
    <m/>
    <m/>
    <m/>
    <m/>
    <m/>
  </r>
  <r>
    <x v="7"/>
    <x v="0"/>
    <x v="0"/>
    <x v="1"/>
    <n v="0"/>
    <m/>
    <n v="0"/>
    <n v="556517"/>
    <m/>
    <n v="556517"/>
    <m/>
    <m/>
    <m/>
    <m/>
    <m/>
    <m/>
  </r>
  <r>
    <x v="8"/>
    <x v="0"/>
    <x v="0"/>
    <x v="1"/>
    <n v="0"/>
    <m/>
    <n v="0"/>
    <n v="0"/>
    <m/>
    <n v="0"/>
    <m/>
    <m/>
    <m/>
    <m/>
    <m/>
    <m/>
  </r>
  <r>
    <x v="9"/>
    <x v="4"/>
    <x v="4"/>
    <x v="5"/>
    <n v="577328.1"/>
    <m/>
    <n v="577328.1"/>
    <n v="0"/>
    <m/>
    <n v="0"/>
    <m/>
    <m/>
    <m/>
    <m/>
    <m/>
    <m/>
  </r>
  <r>
    <x v="10"/>
    <x v="5"/>
    <x v="5"/>
    <x v="6"/>
    <n v="0"/>
    <m/>
    <n v="0"/>
    <n v="3388226.94"/>
    <m/>
    <n v="3388226.94"/>
    <m/>
    <m/>
    <m/>
    <m/>
    <m/>
    <m/>
  </r>
  <r>
    <x v="11"/>
    <x v="5"/>
    <x v="5"/>
    <x v="6"/>
    <n v="2263811.12"/>
    <m/>
    <n v="2263811.12"/>
    <n v="0"/>
    <m/>
    <n v="0"/>
    <m/>
    <m/>
    <m/>
    <m/>
    <m/>
    <m/>
  </r>
  <r>
    <x v="12"/>
    <x v="6"/>
    <x v="6"/>
    <x v="7"/>
    <n v="900000"/>
    <m/>
    <n v="900000"/>
    <n v="0"/>
    <m/>
    <n v="0"/>
    <m/>
    <m/>
    <m/>
    <m/>
    <m/>
    <m/>
  </r>
  <r>
    <x v="13"/>
    <x v="0"/>
    <x v="0"/>
    <x v="0"/>
    <n v="0"/>
    <m/>
    <n v="0"/>
    <n v="62499"/>
    <m/>
    <n v="62499"/>
    <m/>
    <m/>
    <m/>
    <m/>
    <m/>
    <m/>
  </r>
  <r>
    <x v="14"/>
    <x v="7"/>
    <x v="5"/>
    <x v="8"/>
    <n v="0"/>
    <m/>
    <n v="0"/>
    <n v="37052"/>
    <m/>
    <n v="37052"/>
    <m/>
    <m/>
    <m/>
    <m/>
    <m/>
    <m/>
  </r>
  <r>
    <x v="15"/>
    <x v="8"/>
    <x v="7"/>
    <x v="9"/>
    <n v="500"/>
    <m/>
    <n v="500"/>
    <n v="0"/>
    <m/>
    <n v="0"/>
    <m/>
    <m/>
    <m/>
    <m/>
    <m/>
    <m/>
  </r>
  <r>
    <x v="16"/>
    <x v="3"/>
    <x v="3"/>
    <x v="10"/>
    <n v="0"/>
    <m/>
    <n v="0"/>
    <n v="2529925"/>
    <m/>
    <n v="2529925"/>
    <m/>
    <m/>
    <m/>
    <m/>
    <m/>
    <m/>
  </r>
  <r>
    <x v="17"/>
    <x v="8"/>
    <x v="8"/>
    <x v="11"/>
    <n v="85698"/>
    <m/>
    <n v="85698"/>
    <n v="0"/>
    <m/>
    <n v="0"/>
    <m/>
    <m/>
    <m/>
    <m/>
    <m/>
    <m/>
  </r>
  <r>
    <x v="18"/>
    <x v="0"/>
    <x v="0"/>
    <x v="0"/>
    <n v="0"/>
    <m/>
    <n v="0"/>
    <n v="192781"/>
    <m/>
    <n v="192781"/>
    <m/>
    <m/>
    <m/>
    <m/>
    <m/>
    <m/>
  </r>
  <r>
    <x v="19"/>
    <x v="5"/>
    <x v="5"/>
    <x v="6"/>
    <n v="0"/>
    <m/>
    <n v="0"/>
    <n v="1402087"/>
    <m/>
    <n v="1402087"/>
    <m/>
    <m/>
    <m/>
    <m/>
    <m/>
    <m/>
  </r>
  <r>
    <x v="20"/>
    <x v="5"/>
    <x v="5"/>
    <x v="6"/>
    <n v="1932482.82"/>
    <m/>
    <n v="1932482.82"/>
    <n v="0"/>
    <m/>
    <n v="0"/>
    <m/>
    <m/>
    <m/>
    <m/>
    <m/>
    <m/>
  </r>
  <r>
    <x v="21"/>
    <x v="9"/>
    <x v="9"/>
    <x v="12"/>
    <n v="1891381"/>
    <m/>
    <n v="1891381"/>
    <n v="0"/>
    <m/>
    <n v="0"/>
    <m/>
    <m/>
    <m/>
    <m/>
    <m/>
    <m/>
  </r>
  <r>
    <x v="22"/>
    <x v="8"/>
    <x v="8"/>
    <x v="11"/>
    <n v="200"/>
    <m/>
    <n v="200"/>
    <n v="0"/>
    <m/>
    <n v="0"/>
    <m/>
    <m/>
    <m/>
    <m/>
    <m/>
    <m/>
  </r>
  <r>
    <x v="23"/>
    <x v="10"/>
    <x v="10"/>
    <x v="13"/>
    <n v="1000"/>
    <m/>
    <n v="1000"/>
    <n v="0"/>
    <m/>
    <n v="0"/>
    <m/>
    <m/>
    <m/>
    <m/>
    <m/>
    <m/>
  </r>
  <r>
    <x v="24"/>
    <x v="3"/>
    <x v="3"/>
    <x v="10"/>
    <n v="0"/>
    <m/>
    <n v="0"/>
    <n v="6248304"/>
    <m/>
    <n v="6248304"/>
    <m/>
    <m/>
    <m/>
    <m/>
    <m/>
    <m/>
  </r>
  <r>
    <x v="25"/>
    <x v="10"/>
    <x v="10"/>
    <x v="13"/>
    <n v="3000"/>
    <m/>
    <n v="3000"/>
    <n v="0"/>
    <m/>
    <n v="0"/>
    <m/>
    <m/>
    <m/>
    <m/>
    <m/>
    <m/>
  </r>
  <r>
    <x v="26"/>
    <x v="0"/>
    <x v="0"/>
    <x v="0"/>
    <n v="0"/>
    <m/>
    <n v="0"/>
    <n v="81650"/>
    <m/>
    <n v="81650"/>
    <m/>
    <m/>
    <m/>
    <m/>
    <m/>
    <m/>
  </r>
  <r>
    <x v="27"/>
    <x v="3"/>
    <x v="3"/>
    <x v="10"/>
    <n v="0"/>
    <m/>
    <n v="0"/>
    <n v="4760124"/>
    <m/>
    <n v="4760124"/>
    <m/>
    <m/>
    <m/>
    <m/>
    <m/>
    <m/>
  </r>
  <r>
    <x v="28"/>
    <x v="0"/>
    <x v="0"/>
    <x v="0"/>
    <n v="0"/>
    <m/>
    <n v="0"/>
    <n v="84960"/>
    <m/>
    <n v="84960"/>
    <m/>
    <m/>
    <m/>
    <m/>
    <m/>
    <m/>
  </r>
  <r>
    <x v="29"/>
    <x v="0"/>
    <x v="0"/>
    <x v="0"/>
    <n v="0"/>
    <m/>
    <n v="0"/>
    <n v="21000"/>
    <m/>
    <n v="21000"/>
    <m/>
    <m/>
    <m/>
    <m/>
    <m/>
    <m/>
  </r>
  <r>
    <x v="30"/>
    <x v="0"/>
    <x v="0"/>
    <x v="0"/>
    <n v="0"/>
    <m/>
    <n v="0"/>
    <n v="374208"/>
    <m/>
    <n v="374208"/>
    <m/>
    <m/>
    <m/>
    <m/>
    <m/>
    <m/>
  </r>
  <r>
    <x v="31"/>
    <x v="5"/>
    <x v="5"/>
    <x v="14"/>
    <n v="0"/>
    <m/>
    <n v="0"/>
    <n v="2500"/>
    <m/>
    <n v="2500"/>
    <m/>
    <m/>
    <m/>
    <m/>
    <m/>
    <m/>
  </r>
  <r>
    <x v="32"/>
    <x v="8"/>
    <x v="7"/>
    <x v="15"/>
    <n v="920985"/>
    <m/>
    <n v="920985"/>
    <n v="0"/>
    <m/>
    <n v="0"/>
    <m/>
    <m/>
    <m/>
    <m/>
    <m/>
    <m/>
  </r>
  <r>
    <x v="33"/>
    <x v="10"/>
    <x v="10"/>
    <x v="13"/>
    <n v="7500"/>
    <m/>
    <n v="7500"/>
    <n v="0"/>
    <m/>
    <n v="0"/>
    <m/>
    <m/>
    <m/>
    <m/>
    <m/>
    <m/>
  </r>
  <r>
    <x v="34"/>
    <x v="0"/>
    <x v="0"/>
    <x v="0"/>
    <n v="0"/>
    <m/>
    <n v="0"/>
    <n v="192958"/>
    <m/>
    <n v="192958"/>
    <m/>
    <m/>
    <m/>
    <m/>
    <m/>
    <m/>
  </r>
  <r>
    <x v="35"/>
    <x v="0"/>
    <x v="0"/>
    <x v="1"/>
    <n v="0"/>
    <m/>
    <n v="0"/>
    <n v="1296380"/>
    <m/>
    <n v="1296380"/>
    <m/>
    <m/>
    <m/>
    <m/>
    <m/>
    <m/>
  </r>
  <r>
    <x v="36"/>
    <x v="0"/>
    <x v="0"/>
    <x v="1"/>
    <n v="0"/>
    <m/>
    <n v="0"/>
    <n v="3794288"/>
    <n v="-67231.489200000186"/>
    <n v="3727056.5107999998"/>
    <m/>
    <m/>
    <m/>
    <m/>
    <m/>
    <m/>
  </r>
  <r>
    <x v="37"/>
    <x v="0"/>
    <x v="0"/>
    <x v="1"/>
    <n v="0"/>
    <m/>
    <n v="0"/>
    <n v="1115100"/>
    <m/>
    <n v="1115100"/>
    <m/>
    <m/>
    <m/>
    <m/>
    <m/>
    <m/>
  </r>
  <r>
    <x v="38"/>
    <x v="8"/>
    <x v="8"/>
    <x v="11"/>
    <n v="217500"/>
    <m/>
    <n v="217500"/>
    <n v="0"/>
    <m/>
    <n v="0"/>
    <m/>
    <m/>
    <m/>
    <m/>
    <m/>
    <m/>
  </r>
  <r>
    <x v="39"/>
    <x v="7"/>
    <x v="5"/>
    <x v="8"/>
    <n v="0"/>
    <m/>
    <n v="0"/>
    <n v="243000"/>
    <m/>
    <n v="243000"/>
    <m/>
    <m/>
    <m/>
    <m/>
    <m/>
    <m/>
  </r>
  <r>
    <x v="40"/>
    <x v="0"/>
    <x v="0"/>
    <x v="0"/>
    <n v="0"/>
    <m/>
    <n v="0"/>
    <n v="25438"/>
    <m/>
    <n v="25438"/>
    <m/>
    <m/>
    <m/>
    <m/>
    <m/>
    <m/>
  </r>
  <r>
    <x v="41"/>
    <x v="8"/>
    <x v="8"/>
    <x v="11"/>
    <n v="1400"/>
    <m/>
    <n v="1400"/>
    <n v="0"/>
    <m/>
    <n v="0"/>
    <m/>
    <m/>
    <m/>
    <m/>
    <m/>
    <m/>
  </r>
  <r>
    <x v="42"/>
    <x v="3"/>
    <x v="3"/>
    <x v="16"/>
    <n v="0"/>
    <m/>
    <n v="0"/>
    <n v="10184018"/>
    <m/>
    <n v="10184018"/>
    <m/>
    <m/>
    <m/>
    <m/>
    <m/>
    <m/>
  </r>
  <r>
    <x v="43"/>
    <x v="5"/>
    <x v="5"/>
    <x v="6"/>
    <n v="0"/>
    <m/>
    <n v="0"/>
    <n v="3387430.12"/>
    <m/>
    <n v="3387430.12"/>
    <m/>
    <m/>
    <m/>
    <m/>
    <m/>
    <m/>
  </r>
  <r>
    <x v="44"/>
    <x v="5"/>
    <x v="5"/>
    <x v="6"/>
    <n v="2263811.12"/>
    <m/>
    <n v="2263811.12"/>
    <n v="0"/>
    <m/>
    <n v="0"/>
    <m/>
    <m/>
    <m/>
    <m/>
    <m/>
    <m/>
  </r>
  <r>
    <x v="45"/>
    <x v="2"/>
    <x v="2"/>
    <x v="3"/>
    <n v="196757"/>
    <m/>
    <n v="196757"/>
    <n v="0"/>
    <m/>
    <n v="0"/>
    <m/>
    <m/>
    <m/>
    <m/>
    <m/>
    <m/>
  </r>
  <r>
    <x v="46"/>
    <x v="0"/>
    <x v="0"/>
    <x v="1"/>
    <n v="0"/>
    <m/>
    <n v="0"/>
    <n v="101563"/>
    <m/>
    <n v="101563"/>
    <m/>
    <m/>
    <m/>
    <m/>
    <m/>
    <m/>
  </r>
  <r>
    <x v="47"/>
    <x v="0"/>
    <x v="0"/>
    <x v="0"/>
    <n v="4200"/>
    <m/>
    <n v="4200"/>
    <n v="0"/>
    <m/>
    <n v="0"/>
    <m/>
    <m/>
    <m/>
    <m/>
    <m/>
    <m/>
  </r>
  <r>
    <x v="48"/>
    <x v="9"/>
    <x v="9"/>
    <x v="12"/>
    <n v="0"/>
    <m/>
    <n v="0"/>
    <n v="0"/>
    <m/>
    <n v="0"/>
    <m/>
    <m/>
    <m/>
    <m/>
    <m/>
    <m/>
  </r>
  <r>
    <x v="49"/>
    <x v="9"/>
    <x v="9"/>
    <x v="12"/>
    <n v="11611"/>
    <m/>
    <n v="11611"/>
    <n v="0"/>
    <m/>
    <n v="0"/>
    <m/>
    <m/>
    <m/>
    <m/>
    <m/>
    <m/>
  </r>
  <r>
    <x v="50"/>
    <x v="9"/>
    <x v="9"/>
    <x v="12"/>
    <n v="15998"/>
    <m/>
    <n v="15998"/>
    <n v="0"/>
    <m/>
    <n v="0"/>
    <m/>
    <m/>
    <m/>
    <m/>
    <m/>
    <m/>
  </r>
  <r>
    <x v="51"/>
    <x v="9"/>
    <x v="9"/>
    <x v="12"/>
    <n v="0"/>
    <m/>
    <n v="0"/>
    <n v="0"/>
    <m/>
    <n v="0"/>
    <m/>
    <m/>
    <m/>
    <m/>
    <m/>
    <m/>
  </r>
  <r>
    <x v="52"/>
    <x v="9"/>
    <x v="9"/>
    <x v="12"/>
    <n v="933217.36"/>
    <m/>
    <n v="933217.36"/>
    <n v="0"/>
    <m/>
    <n v="0"/>
    <m/>
    <m/>
    <m/>
    <m/>
    <m/>
    <m/>
  </r>
  <r>
    <x v="53"/>
    <x v="7"/>
    <x v="5"/>
    <x v="8"/>
    <n v="0"/>
    <m/>
    <n v="0"/>
    <n v="65000"/>
    <m/>
    <n v="65000"/>
    <m/>
    <m/>
    <m/>
    <m/>
    <m/>
    <m/>
  </r>
  <r>
    <x v="54"/>
    <x v="11"/>
    <x v="11"/>
    <x v="17"/>
    <n v="204000"/>
    <m/>
    <n v="204000"/>
    <n v="0"/>
    <m/>
    <n v="0"/>
    <m/>
    <m/>
    <m/>
    <m/>
    <m/>
    <m/>
  </r>
  <r>
    <x v="55"/>
    <x v="7"/>
    <x v="5"/>
    <x v="8"/>
    <n v="0"/>
    <m/>
    <n v="0"/>
    <n v="12980"/>
    <m/>
    <n v="12980"/>
    <m/>
    <m/>
    <m/>
    <m/>
    <m/>
    <m/>
  </r>
  <r>
    <x v="56"/>
    <x v="1"/>
    <x v="1"/>
    <x v="2"/>
    <n v="175000"/>
    <m/>
    <n v="175000"/>
    <n v="0"/>
    <m/>
    <n v="0"/>
    <m/>
    <m/>
    <m/>
    <m/>
    <m/>
    <m/>
  </r>
  <r>
    <x v="57"/>
    <x v="0"/>
    <x v="0"/>
    <x v="1"/>
    <n v="0"/>
    <m/>
    <n v="0"/>
    <n v="295397"/>
    <m/>
    <n v="295397"/>
    <m/>
    <m/>
    <m/>
    <m/>
    <m/>
    <m/>
  </r>
  <r>
    <x v="58"/>
    <x v="3"/>
    <x v="3"/>
    <x v="4"/>
    <n v="0"/>
    <m/>
    <n v="0"/>
    <n v="7500000"/>
    <m/>
    <n v="7500000"/>
    <m/>
    <m/>
    <m/>
    <m/>
    <m/>
    <m/>
  </r>
  <r>
    <x v="59"/>
    <x v="0"/>
    <x v="0"/>
    <x v="1"/>
    <n v="0"/>
    <m/>
    <n v="0"/>
    <n v="0"/>
    <m/>
    <n v="0"/>
    <m/>
    <m/>
    <m/>
    <m/>
    <m/>
    <m/>
  </r>
  <r>
    <x v="60"/>
    <x v="7"/>
    <x v="5"/>
    <x v="8"/>
    <n v="0"/>
    <m/>
    <n v="0"/>
    <n v="672000"/>
    <m/>
    <n v="672000"/>
    <m/>
    <m/>
    <m/>
    <m/>
    <m/>
    <m/>
  </r>
  <r>
    <x v="61"/>
    <x v="0"/>
    <x v="0"/>
    <x v="0"/>
    <n v="0"/>
    <m/>
    <n v="0"/>
    <n v="0"/>
    <m/>
    <n v="0"/>
    <n v="0"/>
    <n v="0"/>
    <n v="0"/>
    <n v="14868"/>
    <n v="0"/>
    <n v="14868"/>
  </r>
  <r>
    <x v="62"/>
    <x v="2"/>
    <x v="2"/>
    <x v="3"/>
    <n v="152951"/>
    <m/>
    <n v="152951"/>
    <n v="0"/>
    <m/>
    <n v="0"/>
    <n v="1958488"/>
    <n v="0"/>
    <n v="1958488"/>
    <n v="0"/>
    <n v="0"/>
    <n v="0"/>
  </r>
  <r>
    <x v="63"/>
    <x v="2"/>
    <x v="2"/>
    <x v="3"/>
    <n v="13460226"/>
    <m/>
    <n v="13460226"/>
    <n v="0"/>
    <m/>
    <n v="0"/>
    <n v="10176297"/>
    <n v="0"/>
    <n v="10176297"/>
    <n v="0"/>
    <n v="0"/>
    <n v="0"/>
  </r>
  <r>
    <x v="64"/>
    <x v="0"/>
    <x v="0"/>
    <x v="1"/>
    <n v="0"/>
    <m/>
    <n v="0"/>
    <n v="0"/>
    <m/>
    <n v="0"/>
    <n v="0"/>
    <n v="0"/>
    <n v="0"/>
    <n v="85432"/>
    <n v="0"/>
    <n v="85432"/>
  </r>
  <r>
    <x v="65"/>
    <x v="0"/>
    <x v="0"/>
    <x v="1"/>
    <n v="0"/>
    <m/>
    <n v="0"/>
    <n v="0"/>
    <m/>
    <n v="0"/>
    <n v="0"/>
    <n v="0"/>
    <n v="0"/>
    <n v="2844884"/>
    <n v="0"/>
    <n v="2844884"/>
  </r>
  <r>
    <x v="66"/>
    <x v="0"/>
    <x v="0"/>
    <x v="1"/>
    <n v="0"/>
    <m/>
    <n v="0"/>
    <n v="146832"/>
    <m/>
    <n v="146832"/>
    <n v="0"/>
    <n v="0"/>
    <n v="0"/>
    <n v="782311"/>
    <n v="0"/>
    <n v="782311"/>
  </r>
  <r>
    <x v="67"/>
    <x v="0"/>
    <x v="0"/>
    <x v="1"/>
    <n v="0"/>
    <m/>
    <n v="0"/>
    <n v="3597683"/>
    <m/>
    <n v="3597683"/>
    <n v="0"/>
    <n v="0"/>
    <n v="0"/>
    <n v="4974989"/>
    <n v="0"/>
    <n v="4974989"/>
  </r>
  <r>
    <x v="68"/>
    <x v="0"/>
    <x v="0"/>
    <x v="0"/>
    <n v="0"/>
    <m/>
    <n v="0"/>
    <n v="380240"/>
    <m/>
    <n v="380240"/>
    <n v="0"/>
    <n v="0"/>
    <n v="0"/>
    <n v="0"/>
    <n v="0"/>
    <n v="0"/>
  </r>
  <r>
    <x v="69"/>
    <x v="11"/>
    <x v="11"/>
    <x v="17"/>
    <n v="5000"/>
    <m/>
    <n v="5000"/>
    <n v="0"/>
    <m/>
    <n v="0"/>
    <n v="1389464"/>
    <n v="0"/>
    <n v="1389464"/>
    <n v="0"/>
    <n v="0"/>
    <n v="0"/>
  </r>
  <r>
    <x v="70"/>
    <x v="0"/>
    <x v="0"/>
    <x v="0"/>
    <n v="0"/>
    <m/>
    <n v="0"/>
    <n v="6490"/>
    <m/>
    <n v="6490"/>
    <n v="0"/>
    <n v="0"/>
    <n v="0"/>
    <n v="0"/>
    <n v="0"/>
    <n v="0"/>
  </r>
  <r>
    <x v="71"/>
    <x v="8"/>
    <x v="12"/>
    <x v="18"/>
    <n v="120274"/>
    <m/>
    <n v="120274"/>
    <n v="0"/>
    <m/>
    <n v="0"/>
    <n v="125580"/>
    <n v="0"/>
    <n v="125580"/>
    <n v="0"/>
    <n v="0"/>
    <n v="0"/>
  </r>
  <r>
    <x v="72"/>
    <x v="2"/>
    <x v="2"/>
    <x v="3"/>
    <n v="509902"/>
    <m/>
    <n v="509902"/>
    <n v="0"/>
    <m/>
    <n v="0"/>
    <n v="1519590"/>
    <n v="0"/>
    <n v="1519590"/>
    <n v="0"/>
    <n v="0"/>
    <n v="0"/>
  </r>
  <r>
    <x v="73"/>
    <x v="2"/>
    <x v="2"/>
    <x v="3"/>
    <n v="0"/>
    <m/>
    <n v="0"/>
    <n v="33034"/>
    <m/>
    <n v="33034"/>
    <n v="451631"/>
    <n v="0"/>
    <n v="451631"/>
    <n v="0"/>
    <n v="0"/>
    <n v="0"/>
  </r>
  <r>
    <x v="74"/>
    <x v="2"/>
    <x v="2"/>
    <x v="3"/>
    <n v="0"/>
    <m/>
    <n v="0"/>
    <n v="0"/>
    <m/>
    <n v="0"/>
    <n v="5363383.43"/>
    <n v="0"/>
    <n v="5363383.43"/>
    <n v="0"/>
    <n v="0"/>
    <n v="0"/>
  </r>
  <r>
    <x v="75"/>
    <x v="1"/>
    <x v="1"/>
    <x v="2"/>
    <n v="0"/>
    <m/>
    <n v="0"/>
    <n v="0"/>
    <m/>
    <n v="0"/>
    <n v="0"/>
    <n v="0"/>
    <n v="0"/>
    <n v="0"/>
    <n v="0"/>
    <n v="0"/>
  </r>
  <r>
    <x v="76"/>
    <x v="10"/>
    <x v="10"/>
    <x v="13"/>
    <n v="0"/>
    <m/>
    <n v="0"/>
    <n v="0"/>
    <m/>
    <n v="0"/>
    <n v="1500"/>
    <n v="0"/>
    <n v="1500"/>
    <n v="0"/>
    <n v="0"/>
    <n v="0"/>
  </r>
  <r>
    <x v="77"/>
    <x v="10"/>
    <x v="10"/>
    <x v="13"/>
    <n v="7000"/>
    <m/>
    <n v="7000"/>
    <n v="0"/>
    <m/>
    <n v="0"/>
    <n v="62000"/>
    <n v="0"/>
    <n v="62000"/>
    <n v="0"/>
    <n v="0"/>
    <n v="0"/>
  </r>
  <r>
    <x v="78"/>
    <x v="0"/>
    <x v="0"/>
    <x v="1"/>
    <n v="0"/>
    <m/>
    <n v="0"/>
    <n v="1093393"/>
    <n v="-19373.903244000161"/>
    <n v="1074019.0967559998"/>
    <n v="0"/>
    <n v="0"/>
    <n v="0"/>
    <n v="0"/>
    <n v="0"/>
    <n v="0"/>
  </r>
  <r>
    <x v="79"/>
    <x v="0"/>
    <x v="0"/>
    <x v="1"/>
    <n v="0"/>
    <m/>
    <n v="0"/>
    <n v="3880855"/>
    <n v="-68765.660375000443"/>
    <n v="3812089.3396249996"/>
    <n v="0"/>
    <n v="0"/>
    <n v="0"/>
    <n v="0"/>
    <n v="0"/>
    <n v="0"/>
  </r>
  <r>
    <x v="80"/>
    <x v="0"/>
    <x v="0"/>
    <x v="1"/>
    <n v="0"/>
    <m/>
    <n v="0"/>
    <n v="0"/>
    <m/>
    <n v="0"/>
    <n v="0"/>
    <n v="0"/>
    <n v="0"/>
    <n v="141516"/>
    <n v="0"/>
    <n v="141516"/>
  </r>
  <r>
    <x v="81"/>
    <x v="2"/>
    <x v="2"/>
    <x v="3"/>
    <n v="5613955"/>
    <m/>
    <n v="5613955"/>
    <n v="0"/>
    <m/>
    <n v="0"/>
    <n v="1231667"/>
    <n v="0"/>
    <n v="1231667"/>
    <n v="0"/>
    <n v="0"/>
    <n v="0"/>
  </r>
  <r>
    <x v="82"/>
    <x v="0"/>
    <x v="0"/>
    <x v="1"/>
    <n v="0"/>
    <m/>
    <n v="0"/>
    <n v="533042"/>
    <m/>
    <n v="533042"/>
    <m/>
    <m/>
    <m/>
    <m/>
    <m/>
    <m/>
  </r>
  <r>
    <x v="83"/>
    <x v="0"/>
    <x v="0"/>
    <x v="1"/>
    <n v="0"/>
    <m/>
    <n v="0"/>
    <n v="996630"/>
    <m/>
    <n v="996630"/>
    <m/>
    <m/>
    <m/>
    <m/>
    <m/>
    <m/>
  </r>
  <r>
    <x v="84"/>
    <x v="0"/>
    <x v="0"/>
    <x v="0"/>
    <n v="0"/>
    <m/>
    <n v="0"/>
    <n v="0"/>
    <m/>
    <n v="0"/>
    <n v="0"/>
    <n v="0"/>
    <n v="0"/>
    <n v="41913"/>
    <n v="0"/>
    <n v="41913"/>
  </r>
  <r>
    <x v="85"/>
    <x v="3"/>
    <x v="3"/>
    <x v="10"/>
    <n v="0"/>
    <m/>
    <n v="0"/>
    <n v="2723419"/>
    <m/>
    <n v="2723419"/>
    <n v="0"/>
    <n v="0"/>
    <n v="0"/>
    <n v="2535850"/>
    <n v="0"/>
    <n v="2535850"/>
  </r>
  <r>
    <x v="86"/>
    <x v="3"/>
    <x v="3"/>
    <x v="10"/>
    <n v="0"/>
    <m/>
    <n v="0"/>
    <n v="1085610"/>
    <m/>
    <n v="1085610"/>
    <n v="0"/>
    <n v="0"/>
    <n v="0"/>
    <n v="1010842"/>
    <n v="0"/>
    <n v="1010842"/>
  </r>
  <r>
    <x v="87"/>
    <x v="8"/>
    <x v="8"/>
    <x v="11"/>
    <n v="145333"/>
    <m/>
    <n v="145333"/>
    <n v="0"/>
    <m/>
    <n v="0"/>
    <n v="148357"/>
    <n v="0"/>
    <n v="148357"/>
    <n v="0"/>
    <n v="0"/>
    <n v="0"/>
  </r>
  <r>
    <x v="88"/>
    <x v="8"/>
    <x v="8"/>
    <x v="11"/>
    <n v="18000"/>
    <m/>
    <n v="18000"/>
    <n v="0"/>
    <m/>
    <n v="0"/>
    <n v="12424"/>
    <n v="0"/>
    <n v="12424"/>
    <n v="0"/>
    <n v="0"/>
    <n v="0"/>
  </r>
  <r>
    <x v="89"/>
    <x v="8"/>
    <x v="8"/>
    <x v="19"/>
    <n v="55000"/>
    <m/>
    <n v="55000"/>
    <n v="0"/>
    <m/>
    <n v="0"/>
    <n v="55000"/>
    <n v="0"/>
    <n v="55000"/>
    <n v="0"/>
    <n v="0"/>
    <n v="0"/>
  </r>
  <r>
    <x v="90"/>
    <x v="8"/>
    <x v="8"/>
    <x v="19"/>
    <n v="0"/>
    <m/>
    <n v="0"/>
    <n v="0"/>
    <m/>
    <n v="0"/>
    <n v="48000"/>
    <n v="0"/>
    <n v="48000"/>
    <n v="0"/>
    <n v="0"/>
    <n v="0"/>
  </r>
  <r>
    <x v="91"/>
    <x v="8"/>
    <x v="8"/>
    <x v="20"/>
    <n v="0"/>
    <m/>
    <n v="0"/>
    <n v="0"/>
    <m/>
    <n v="0"/>
    <n v="762"/>
    <n v="0"/>
    <n v="762"/>
    <n v="0"/>
    <n v="0"/>
    <n v="0"/>
  </r>
  <r>
    <x v="92"/>
    <x v="0"/>
    <x v="0"/>
    <x v="0"/>
    <n v="0"/>
    <m/>
    <n v="0"/>
    <n v="0"/>
    <m/>
    <n v="0"/>
    <m/>
    <m/>
    <m/>
    <m/>
    <m/>
    <m/>
  </r>
  <r>
    <x v="93"/>
    <x v="0"/>
    <x v="0"/>
    <x v="0"/>
    <n v="0"/>
    <m/>
    <n v="0"/>
    <n v="247500"/>
    <m/>
    <n v="247500"/>
    <n v="0"/>
    <n v="0"/>
    <n v="0"/>
    <n v="247500"/>
    <n v="0"/>
    <n v="247500"/>
  </r>
  <r>
    <x v="94"/>
    <x v="8"/>
    <x v="8"/>
    <x v="21"/>
    <n v="0"/>
    <m/>
    <n v="0"/>
    <n v="0"/>
    <m/>
    <n v="0"/>
    <n v="6461"/>
    <n v="0"/>
    <n v="6461"/>
    <n v="0"/>
    <n v="0"/>
    <n v="0"/>
  </r>
  <r>
    <x v="95"/>
    <x v="0"/>
    <x v="0"/>
    <x v="1"/>
    <n v="0"/>
    <m/>
    <n v="0"/>
    <n v="156616"/>
    <m/>
    <n v="156616"/>
    <n v="0"/>
    <n v="0"/>
    <n v="0"/>
    <n v="96676.08"/>
    <n v="0"/>
    <n v="96676.08"/>
  </r>
  <r>
    <x v="96"/>
    <x v="3"/>
    <x v="3"/>
    <x v="10"/>
    <n v="0"/>
    <m/>
    <n v="0"/>
    <n v="853856"/>
    <m/>
    <n v="853856"/>
    <n v="0"/>
    <n v="0"/>
    <n v="0"/>
    <n v="1263552"/>
    <n v="0"/>
    <n v="1263552"/>
  </r>
  <r>
    <x v="97"/>
    <x v="8"/>
    <x v="8"/>
    <x v="22"/>
    <n v="412603.48"/>
    <m/>
    <n v="412603.48"/>
    <n v="0"/>
    <m/>
    <n v="0"/>
    <n v="458584.8"/>
    <n v="0"/>
    <n v="458584.8"/>
    <n v="0"/>
    <n v="0"/>
    <n v="0"/>
  </r>
  <r>
    <x v="98"/>
    <x v="8"/>
    <x v="8"/>
    <x v="23"/>
    <n v="0"/>
    <m/>
    <n v="0"/>
    <n v="0"/>
    <m/>
    <n v="0"/>
    <n v="956688"/>
    <n v="0"/>
    <n v="956688"/>
    <n v="0"/>
    <n v="0"/>
    <n v="0"/>
  </r>
  <r>
    <x v="99"/>
    <x v="8"/>
    <x v="8"/>
    <x v="22"/>
    <n v="0"/>
    <m/>
    <n v="0"/>
    <n v="0"/>
    <m/>
    <n v="0"/>
    <n v="56000"/>
    <n v="0"/>
    <n v="56000"/>
    <n v="0"/>
    <n v="0"/>
    <n v="0"/>
  </r>
  <r>
    <x v="100"/>
    <x v="12"/>
    <x v="13"/>
    <x v="24"/>
    <n v="175317"/>
    <m/>
    <n v="175317"/>
    <n v="0"/>
    <m/>
    <n v="0"/>
    <n v="243852"/>
    <n v="0"/>
    <n v="243852"/>
    <n v="0"/>
    <n v="0"/>
    <n v="0"/>
  </r>
  <r>
    <x v="101"/>
    <x v="0"/>
    <x v="0"/>
    <x v="1"/>
    <n v="0"/>
    <m/>
    <n v="0"/>
    <n v="54681"/>
    <m/>
    <n v="54681"/>
    <n v="0"/>
    <n v="0"/>
    <n v="0"/>
    <n v="57396"/>
    <n v="0"/>
    <n v="57396"/>
  </r>
  <r>
    <x v="102"/>
    <x v="2"/>
    <x v="2"/>
    <x v="3"/>
    <n v="0"/>
    <m/>
    <n v="0"/>
    <n v="0"/>
    <m/>
    <n v="0"/>
    <n v="2902069"/>
    <n v="0"/>
    <n v="2902069"/>
    <n v="0"/>
    <n v="0"/>
    <n v="0"/>
  </r>
  <r>
    <x v="103"/>
    <x v="10"/>
    <x v="10"/>
    <x v="13"/>
    <n v="17500"/>
    <m/>
    <n v="17500"/>
    <n v="0"/>
    <m/>
    <n v="0"/>
    <n v="5000"/>
    <n v="0"/>
    <n v="5000"/>
    <n v="0"/>
    <n v="0"/>
    <n v="0"/>
  </r>
  <r>
    <x v="104"/>
    <x v="8"/>
    <x v="7"/>
    <x v="9"/>
    <n v="3043560"/>
    <m/>
    <n v="3043560"/>
    <n v="0"/>
    <m/>
    <n v="0"/>
    <n v="3807870"/>
    <n v="0"/>
    <n v="3807870"/>
    <n v="0"/>
    <n v="0"/>
    <n v="0"/>
  </r>
  <r>
    <x v="105"/>
    <x v="8"/>
    <x v="8"/>
    <x v="25"/>
    <n v="3329"/>
    <m/>
    <n v="3329"/>
    <n v="0"/>
    <m/>
    <n v="0"/>
    <n v="3293"/>
    <n v="0"/>
    <n v="3293"/>
    <n v="0"/>
    <n v="0"/>
    <n v="0"/>
  </r>
  <r>
    <x v="106"/>
    <x v="13"/>
    <x v="14"/>
    <x v="26"/>
    <n v="64116710.619999997"/>
    <m/>
    <n v="64116710.619999997"/>
    <n v="0"/>
    <m/>
    <n v="0"/>
    <n v="61286378.619999997"/>
    <n v="0"/>
    <n v="61286378.619999997"/>
    <n v="0"/>
    <n v="0"/>
    <n v="0"/>
  </r>
  <r>
    <x v="107"/>
    <x v="14"/>
    <x v="15"/>
    <x v="27"/>
    <n v="0"/>
    <m/>
    <n v="0"/>
    <n v="20413989"/>
    <m/>
    <n v="20413989"/>
    <n v="0"/>
    <n v="0"/>
    <n v="0"/>
    <n v="20413989"/>
    <n v="0"/>
    <n v="20413989"/>
  </r>
  <r>
    <x v="108"/>
    <x v="8"/>
    <x v="8"/>
    <x v="28"/>
    <n v="800"/>
    <m/>
    <n v="800"/>
    <n v="0"/>
    <m/>
    <n v="0"/>
    <n v="8887"/>
    <n v="0"/>
    <n v="8887"/>
    <n v="0"/>
    <n v="0"/>
    <n v="0"/>
  </r>
  <r>
    <x v="109"/>
    <x v="8"/>
    <x v="7"/>
    <x v="29"/>
    <n v="492951"/>
    <m/>
    <n v="492951"/>
    <n v="0"/>
    <m/>
    <n v="0"/>
    <n v="545036"/>
    <n v="0"/>
    <n v="545036"/>
    <n v="0"/>
    <n v="0"/>
    <n v="0"/>
  </r>
  <r>
    <x v="110"/>
    <x v="8"/>
    <x v="7"/>
    <x v="9"/>
    <n v="283443"/>
    <m/>
    <n v="283443"/>
    <n v="0"/>
    <m/>
    <n v="0"/>
    <n v="264579"/>
    <n v="0"/>
    <n v="264579"/>
    <n v="0"/>
    <n v="0"/>
    <n v="0"/>
  </r>
  <r>
    <x v="111"/>
    <x v="8"/>
    <x v="7"/>
    <x v="9"/>
    <n v="234338"/>
    <m/>
    <n v="234338"/>
    <n v="0"/>
    <m/>
    <n v="0"/>
    <n v="198250"/>
    <n v="0"/>
    <n v="198250"/>
    <n v="0"/>
    <n v="0"/>
    <n v="0"/>
  </r>
  <r>
    <x v="112"/>
    <x v="15"/>
    <x v="16"/>
    <x v="30"/>
    <n v="230316"/>
    <m/>
    <n v="230316"/>
    <n v="0"/>
    <m/>
    <n v="0"/>
    <n v="68389"/>
    <n v="0"/>
    <n v="68389"/>
    <n v="0"/>
    <n v="0"/>
    <n v="0"/>
  </r>
  <r>
    <x v="113"/>
    <x v="5"/>
    <x v="5"/>
    <x v="6"/>
    <n v="0"/>
    <m/>
    <n v="0"/>
    <n v="0"/>
    <m/>
    <n v="0"/>
    <n v="0"/>
    <n v="0"/>
    <n v="0"/>
    <n v="0"/>
    <n v="0"/>
    <n v="0"/>
  </r>
  <r>
    <x v="114"/>
    <x v="5"/>
    <x v="5"/>
    <x v="6"/>
    <n v="0"/>
    <m/>
    <n v="0"/>
    <n v="0"/>
    <m/>
    <n v="0"/>
    <n v="0"/>
    <n v="0"/>
    <n v="0"/>
    <n v="0"/>
    <n v="0"/>
    <n v="0"/>
  </r>
  <r>
    <x v="115"/>
    <x v="2"/>
    <x v="2"/>
    <x v="3"/>
    <n v="10899010"/>
    <m/>
    <n v="10899010"/>
    <n v="0"/>
    <m/>
    <n v="0"/>
    <n v="0"/>
    <n v="0"/>
    <n v="0"/>
    <n v="0"/>
    <n v="0"/>
    <n v="0"/>
  </r>
  <r>
    <x v="116"/>
    <x v="2"/>
    <x v="2"/>
    <x v="3"/>
    <n v="305863"/>
    <m/>
    <n v="305863"/>
    <n v="0"/>
    <m/>
    <n v="0"/>
    <n v="9482492"/>
    <n v="0"/>
    <n v="9482492"/>
    <n v="0"/>
    <n v="0"/>
    <n v="0"/>
  </r>
  <r>
    <x v="117"/>
    <x v="16"/>
    <x v="17"/>
    <x v="31"/>
    <n v="51776100"/>
    <m/>
    <n v="51776100"/>
    <n v="0"/>
    <m/>
    <n v="0"/>
    <n v="48786325"/>
    <n v="0"/>
    <n v="48786325"/>
    <n v="0"/>
    <n v="0"/>
    <n v="0"/>
  </r>
  <r>
    <x v="118"/>
    <x v="16"/>
    <x v="17"/>
    <x v="31"/>
    <n v="2760009"/>
    <m/>
    <n v="2760009"/>
    <n v="0"/>
    <m/>
    <n v="0"/>
    <n v="0"/>
    <n v="0"/>
    <n v="0"/>
    <n v="0"/>
    <n v="0"/>
    <n v="0"/>
  </r>
  <r>
    <x v="119"/>
    <x v="2"/>
    <x v="2"/>
    <x v="3"/>
    <n v="456870"/>
    <m/>
    <n v="456870"/>
    <n v="0"/>
    <m/>
    <n v="0"/>
    <n v="0"/>
    <n v="0"/>
    <n v="0"/>
    <n v="0"/>
    <n v="0"/>
    <n v="0"/>
  </r>
  <r>
    <x v="120"/>
    <x v="0"/>
    <x v="0"/>
    <x v="1"/>
    <n v="0"/>
    <m/>
    <n v="0"/>
    <n v="0"/>
    <m/>
    <n v="0"/>
    <n v="0"/>
    <n v="0"/>
    <n v="0"/>
    <n v="0"/>
    <n v="0"/>
    <n v="0"/>
  </r>
  <r>
    <x v="121"/>
    <x v="16"/>
    <x v="17"/>
    <x v="31"/>
    <n v="42501627"/>
    <m/>
    <n v="42501627"/>
    <n v="0"/>
    <m/>
    <n v="0"/>
    <n v="21589538"/>
    <n v="0"/>
    <n v="21589538"/>
    <n v="0"/>
    <n v="0"/>
    <n v="0"/>
  </r>
  <r>
    <x v="122"/>
    <x v="8"/>
    <x v="7"/>
    <x v="15"/>
    <n v="39341063.259999998"/>
    <m/>
    <n v="39341063.259999998"/>
    <n v="0"/>
    <m/>
    <n v="0"/>
    <n v="39844498.340000004"/>
    <n v="0"/>
    <n v="39844498.340000004"/>
    <n v="0"/>
    <n v="0"/>
    <n v="0"/>
  </r>
  <r>
    <x v="123"/>
    <x v="13"/>
    <x v="14"/>
    <x v="26"/>
    <n v="898435.7"/>
    <m/>
    <n v="898435.7"/>
    <n v="0"/>
    <m/>
    <n v="0"/>
    <n v="868635.7"/>
    <n v="0"/>
    <n v="868635.7"/>
    <n v="0"/>
    <n v="0"/>
    <n v="0"/>
  </r>
  <r>
    <x v="124"/>
    <x v="8"/>
    <x v="8"/>
    <x v="32"/>
    <n v="7000"/>
    <m/>
    <n v="7000"/>
    <n v="0"/>
    <m/>
    <n v="0"/>
    <n v="14524"/>
    <n v="0"/>
    <n v="14524"/>
    <n v="0"/>
    <n v="0"/>
    <n v="0"/>
  </r>
  <r>
    <x v="125"/>
    <x v="1"/>
    <x v="1"/>
    <x v="2"/>
    <n v="302862"/>
    <m/>
    <n v="302862"/>
    <n v="0"/>
    <m/>
    <n v="0"/>
    <n v="0"/>
    <n v="0"/>
    <n v="0"/>
    <n v="0"/>
    <n v="0"/>
    <n v="0"/>
  </r>
  <r>
    <x v="126"/>
    <x v="5"/>
    <x v="5"/>
    <x v="33"/>
    <n v="0"/>
    <m/>
    <n v="0"/>
    <n v="23072"/>
    <m/>
    <n v="23072"/>
    <n v="0"/>
    <n v="0"/>
    <n v="0"/>
    <n v="22944"/>
    <n v="0"/>
    <n v="22944"/>
  </r>
  <r>
    <x v="127"/>
    <x v="5"/>
    <x v="5"/>
    <x v="33"/>
    <n v="0"/>
    <m/>
    <n v="0"/>
    <n v="202410"/>
    <m/>
    <n v="202410"/>
    <n v="0"/>
    <n v="0"/>
    <n v="0"/>
    <n v="198784"/>
    <n v="0"/>
    <n v="198784"/>
  </r>
  <r>
    <x v="128"/>
    <x v="8"/>
    <x v="8"/>
    <x v="34"/>
    <n v="59948"/>
    <m/>
    <n v="59948"/>
    <n v="0"/>
    <m/>
    <n v="0"/>
    <n v="29522"/>
    <n v="0"/>
    <n v="29522"/>
    <n v="0"/>
    <n v="0"/>
    <n v="0"/>
  </r>
  <r>
    <x v="129"/>
    <x v="8"/>
    <x v="8"/>
    <x v="34"/>
    <n v="32087"/>
    <m/>
    <n v="32087"/>
    <n v="0"/>
    <m/>
    <n v="0"/>
    <n v="21062"/>
    <n v="0"/>
    <n v="21062"/>
    <n v="0"/>
    <n v="0"/>
    <n v="0"/>
  </r>
  <r>
    <x v="130"/>
    <x v="2"/>
    <x v="2"/>
    <x v="3"/>
    <n v="0"/>
    <m/>
    <n v="0"/>
    <n v="0"/>
    <m/>
    <n v="0"/>
    <n v="344368"/>
    <n v="0"/>
    <n v="344368"/>
    <n v="0"/>
    <n v="0"/>
    <n v="0"/>
  </r>
  <r>
    <x v="131"/>
    <x v="8"/>
    <x v="8"/>
    <x v="11"/>
    <n v="64117"/>
    <m/>
    <n v="64117"/>
    <n v="0"/>
    <m/>
    <n v="0"/>
    <n v="72553"/>
    <n v="0"/>
    <n v="72553"/>
    <n v="0"/>
    <n v="0"/>
    <n v="0"/>
  </r>
  <r>
    <x v="132"/>
    <x v="8"/>
    <x v="8"/>
    <x v="11"/>
    <n v="0"/>
    <m/>
    <n v="0"/>
    <n v="0"/>
    <m/>
    <n v="0"/>
    <n v="178418"/>
    <n v="0"/>
    <n v="178418"/>
    <n v="0"/>
    <n v="0"/>
    <n v="0"/>
  </r>
  <r>
    <x v="133"/>
    <x v="0"/>
    <x v="0"/>
    <x v="1"/>
    <n v="0"/>
    <m/>
    <n v="0"/>
    <n v="7452127"/>
    <m/>
    <n v="7452127"/>
    <n v="0"/>
    <n v="0"/>
    <n v="0"/>
    <n v="0"/>
    <n v="0"/>
    <n v="0"/>
  </r>
  <r>
    <x v="134"/>
    <x v="17"/>
    <x v="18"/>
    <x v="35"/>
    <n v="0"/>
    <m/>
    <n v="0"/>
    <n v="16151130"/>
    <m/>
    <n v="16151130"/>
    <n v="0"/>
    <n v="0"/>
    <n v="0"/>
    <n v="19475121"/>
    <n v="0"/>
    <n v="19475121"/>
  </r>
  <r>
    <x v="135"/>
    <x v="11"/>
    <x v="11"/>
    <x v="36"/>
    <n v="1153920"/>
    <m/>
    <n v="1153920"/>
    <n v="0"/>
    <m/>
    <n v="0"/>
    <n v="0"/>
    <n v="0"/>
    <n v="0"/>
    <n v="0"/>
    <n v="0"/>
    <n v="0"/>
  </r>
  <r>
    <x v="136"/>
    <x v="11"/>
    <x v="11"/>
    <x v="36"/>
    <n v="6800"/>
    <m/>
    <n v="6800"/>
    <n v="0"/>
    <m/>
    <n v="0"/>
    <n v="6800"/>
    <n v="0"/>
    <n v="6800"/>
    <n v="0"/>
    <n v="0"/>
    <n v="0"/>
  </r>
  <r>
    <x v="137"/>
    <x v="6"/>
    <x v="6"/>
    <x v="7"/>
    <n v="225820"/>
    <m/>
    <n v="225820"/>
    <n v="0"/>
    <m/>
    <n v="0"/>
    <n v="215314.61"/>
    <n v="0"/>
    <n v="215314.61"/>
    <n v="0"/>
    <n v="0"/>
    <n v="0"/>
  </r>
  <r>
    <x v="138"/>
    <x v="11"/>
    <x v="11"/>
    <x v="36"/>
    <n v="250000"/>
    <m/>
    <n v="250000"/>
    <n v="0"/>
    <m/>
    <n v="0"/>
    <n v="50000"/>
    <n v="0"/>
    <n v="50000"/>
    <n v="0"/>
    <n v="0"/>
    <n v="0"/>
  </r>
  <r>
    <x v="139"/>
    <x v="11"/>
    <x v="11"/>
    <x v="36"/>
    <n v="3522100"/>
    <m/>
    <n v="3522100"/>
    <n v="0"/>
    <m/>
    <n v="0"/>
    <n v="322100"/>
    <n v="0"/>
    <n v="322100"/>
    <n v="0"/>
    <n v="0"/>
    <n v="0"/>
  </r>
  <r>
    <x v="140"/>
    <x v="6"/>
    <x v="6"/>
    <x v="7"/>
    <n v="150294"/>
    <m/>
    <n v="150294"/>
    <n v="0"/>
    <m/>
    <n v="0"/>
    <n v="150294"/>
    <n v="0"/>
    <n v="150294"/>
    <n v="0"/>
    <n v="0"/>
    <n v="0"/>
  </r>
  <r>
    <x v="141"/>
    <x v="11"/>
    <x v="11"/>
    <x v="36"/>
    <n v="200000"/>
    <m/>
    <n v="200000"/>
    <n v="0"/>
    <m/>
    <n v="0"/>
    <n v="200000"/>
    <n v="0"/>
    <n v="200000"/>
    <n v="0"/>
    <n v="0"/>
    <n v="0"/>
  </r>
  <r>
    <x v="142"/>
    <x v="11"/>
    <x v="11"/>
    <x v="36"/>
    <n v="10777"/>
    <m/>
    <n v="10777"/>
    <n v="0"/>
    <m/>
    <n v="0"/>
    <n v="10777"/>
    <n v="0"/>
    <n v="10777"/>
    <n v="0"/>
    <n v="0"/>
    <n v="0"/>
  </r>
  <r>
    <x v="143"/>
    <x v="18"/>
    <x v="19"/>
    <x v="37"/>
    <n v="453851"/>
    <m/>
    <n v="453851"/>
    <n v="0"/>
    <m/>
    <n v="0"/>
    <n v="277472"/>
    <n v="0"/>
    <n v="277472"/>
    <n v="0"/>
    <n v="0"/>
    <n v="0"/>
  </r>
  <r>
    <x v="144"/>
    <x v="18"/>
    <x v="19"/>
    <x v="37"/>
    <n v="5073205"/>
    <m/>
    <n v="5073205"/>
    <n v="0"/>
    <m/>
    <n v="0"/>
    <n v="4984821"/>
    <n v="0"/>
    <n v="4984821"/>
    <n v="0"/>
    <n v="0"/>
    <n v="0"/>
  </r>
  <r>
    <x v="145"/>
    <x v="7"/>
    <x v="20"/>
    <x v="38"/>
    <n v="1857088"/>
    <m/>
    <n v="1857088"/>
    <n v="0"/>
    <m/>
    <n v="0"/>
    <n v="1850243"/>
    <n v="0"/>
    <n v="1850243"/>
    <n v="0"/>
    <n v="0"/>
    <n v="0"/>
  </r>
  <r>
    <x v="146"/>
    <x v="7"/>
    <x v="20"/>
    <x v="38"/>
    <n v="1989109"/>
    <m/>
    <n v="1989109"/>
    <n v="0"/>
    <m/>
    <n v="0"/>
    <n v="1908584"/>
    <n v="0"/>
    <n v="1908584"/>
    <n v="0"/>
    <n v="0"/>
    <n v="0"/>
  </r>
  <r>
    <x v="147"/>
    <x v="7"/>
    <x v="20"/>
    <x v="38"/>
    <n v="45170"/>
    <m/>
    <n v="45170"/>
    <n v="0"/>
    <m/>
    <n v="0"/>
    <n v="41543"/>
    <n v="0"/>
    <n v="41543"/>
    <n v="0"/>
    <n v="0"/>
    <n v="0"/>
  </r>
  <r>
    <x v="148"/>
    <x v="7"/>
    <x v="20"/>
    <x v="38"/>
    <n v="56194"/>
    <m/>
    <n v="56194"/>
    <n v="0"/>
    <m/>
    <n v="0"/>
    <n v="48716"/>
    <n v="0"/>
    <n v="48716"/>
    <n v="0"/>
    <n v="0"/>
    <n v="0"/>
  </r>
  <r>
    <x v="149"/>
    <x v="7"/>
    <x v="20"/>
    <x v="38"/>
    <n v="114072"/>
    <m/>
    <n v="114072"/>
    <n v="0"/>
    <m/>
    <n v="0"/>
    <n v="113997"/>
    <n v="0"/>
    <n v="113997"/>
    <n v="0"/>
    <n v="0"/>
    <n v="0"/>
  </r>
  <r>
    <x v="150"/>
    <x v="7"/>
    <x v="20"/>
    <x v="38"/>
    <n v="13650885"/>
    <m/>
    <n v="13650885"/>
    <n v="0"/>
    <m/>
    <n v="0"/>
    <n v="13628774"/>
    <n v="0"/>
    <n v="13628774"/>
    <n v="0"/>
    <n v="0"/>
    <n v="0"/>
  </r>
  <r>
    <x v="151"/>
    <x v="7"/>
    <x v="20"/>
    <x v="38"/>
    <n v="369149"/>
    <m/>
    <n v="369149"/>
    <n v="0"/>
    <m/>
    <n v="0"/>
    <n v="369149"/>
    <n v="0"/>
    <n v="369149"/>
    <n v="0"/>
    <n v="0"/>
    <n v="0"/>
  </r>
  <r>
    <x v="152"/>
    <x v="10"/>
    <x v="10"/>
    <x v="13"/>
    <n v="23000"/>
    <m/>
    <n v="23000"/>
    <n v="0"/>
    <m/>
    <n v="0"/>
    <n v="0"/>
    <n v="0"/>
    <n v="0"/>
    <n v="0"/>
    <n v="0"/>
    <n v="0"/>
  </r>
  <r>
    <x v="153"/>
    <x v="0"/>
    <x v="0"/>
    <x v="1"/>
    <n v="0"/>
    <m/>
    <n v="0"/>
    <n v="29160"/>
    <m/>
    <n v="29160"/>
    <n v="0"/>
    <n v="0"/>
    <n v="0"/>
    <n v="0"/>
    <n v="0"/>
    <n v="0"/>
  </r>
  <r>
    <x v="154"/>
    <x v="10"/>
    <x v="10"/>
    <x v="13"/>
    <n v="34000"/>
    <m/>
    <n v="34000"/>
    <n v="0"/>
    <m/>
    <n v="0"/>
    <n v="54000"/>
    <n v="0"/>
    <n v="54000"/>
    <n v="0"/>
    <n v="0"/>
    <n v="0"/>
  </r>
  <r>
    <x v="155"/>
    <x v="19"/>
    <x v="21"/>
    <x v="39"/>
    <n v="33000"/>
    <m/>
    <n v="33000"/>
    <n v="0"/>
    <m/>
    <n v="0"/>
    <n v="46500"/>
    <n v="0"/>
    <n v="46500"/>
    <n v="0"/>
    <n v="0"/>
    <n v="0"/>
  </r>
  <r>
    <x v="156"/>
    <x v="4"/>
    <x v="4"/>
    <x v="5"/>
    <n v="0"/>
    <m/>
    <n v="0"/>
    <n v="0"/>
    <m/>
    <n v="0"/>
    <n v="3692009"/>
    <n v="0"/>
    <n v="3692009"/>
    <n v="0"/>
    <n v="0"/>
    <n v="0"/>
  </r>
  <r>
    <x v="157"/>
    <x v="4"/>
    <x v="4"/>
    <x v="5"/>
    <n v="0"/>
    <m/>
    <n v="0"/>
    <n v="138935526.5"/>
    <m/>
    <n v="138935526.5"/>
    <n v="0"/>
    <n v="0"/>
    <n v="0"/>
    <n v="121315419.15000001"/>
    <n v="0"/>
    <n v="121315419.15000001"/>
  </r>
  <r>
    <x v="158"/>
    <x v="0"/>
    <x v="0"/>
    <x v="0"/>
    <n v="0"/>
    <m/>
    <n v="0"/>
    <n v="112909.16"/>
    <m/>
    <n v="112909.16"/>
    <n v="0"/>
    <n v="0"/>
    <n v="0"/>
    <n v="101425.16"/>
    <n v="0"/>
    <n v="101425.16"/>
  </r>
  <r>
    <x v="159"/>
    <x v="8"/>
    <x v="8"/>
    <x v="40"/>
    <n v="37500"/>
    <m/>
    <n v="37500"/>
    <n v="0"/>
    <m/>
    <n v="0"/>
    <n v="26700"/>
    <n v="0"/>
    <n v="26700"/>
    <n v="0"/>
    <n v="0"/>
    <n v="0"/>
  </r>
  <r>
    <x v="160"/>
    <x v="11"/>
    <x v="11"/>
    <x v="17"/>
    <n v="18000"/>
    <m/>
    <n v="18000"/>
    <n v="0"/>
    <m/>
    <n v="0"/>
    <n v="0"/>
    <n v="0"/>
    <n v="0"/>
    <n v="0"/>
    <n v="0"/>
    <n v="0"/>
  </r>
  <r>
    <x v="161"/>
    <x v="0"/>
    <x v="0"/>
    <x v="1"/>
    <n v="0"/>
    <m/>
    <n v="0"/>
    <n v="89916"/>
    <m/>
    <n v="89916"/>
    <n v="0"/>
    <n v="0"/>
    <n v="0"/>
    <n v="66506"/>
    <n v="0"/>
    <n v="66506"/>
  </r>
  <r>
    <x v="162"/>
    <x v="0"/>
    <x v="0"/>
    <x v="1"/>
    <n v="0"/>
    <m/>
    <n v="0"/>
    <n v="4164978"/>
    <m/>
    <n v="4164978"/>
    <n v="0"/>
    <n v="0"/>
    <n v="0"/>
    <n v="4625753"/>
    <n v="0"/>
    <n v="4625753"/>
  </r>
  <r>
    <x v="163"/>
    <x v="13"/>
    <x v="14"/>
    <x v="26"/>
    <n v="26557047.010000002"/>
    <m/>
    <n v="26557047.010000002"/>
    <n v="0"/>
    <m/>
    <n v="0"/>
    <n v="26458587.010000002"/>
    <n v="0"/>
    <n v="26458587.010000002"/>
    <n v="0"/>
    <n v="0"/>
    <n v="0"/>
  </r>
  <r>
    <x v="164"/>
    <x v="14"/>
    <x v="22"/>
    <x v="41"/>
    <n v="0"/>
    <m/>
    <n v="0"/>
    <n v="26922650"/>
    <m/>
    <n v="26922650"/>
    <n v="0"/>
    <n v="0"/>
    <n v="0"/>
    <n v="26922650"/>
    <n v="0"/>
    <n v="26922650"/>
  </r>
  <r>
    <x v="165"/>
    <x v="19"/>
    <x v="21"/>
    <x v="42"/>
    <n v="236264"/>
    <m/>
    <n v="236264"/>
    <n v="0"/>
    <m/>
    <n v="0"/>
    <n v="234882"/>
    <n v="0"/>
    <n v="234882"/>
    <n v="0"/>
    <n v="0"/>
    <n v="0"/>
  </r>
  <r>
    <x v="166"/>
    <x v="8"/>
    <x v="8"/>
    <x v="28"/>
    <n v="18701"/>
    <m/>
    <n v="18701"/>
    <n v="0"/>
    <m/>
    <n v="0"/>
    <n v="18000"/>
    <n v="0"/>
    <n v="18000"/>
    <n v="0"/>
    <n v="0"/>
    <n v="0"/>
  </r>
  <r>
    <x v="167"/>
    <x v="19"/>
    <x v="21"/>
    <x v="39"/>
    <n v="10975"/>
    <m/>
    <n v="10975"/>
    <n v="0"/>
    <m/>
    <n v="0"/>
    <n v="10320"/>
    <n v="0"/>
    <n v="10320"/>
    <n v="0"/>
    <n v="0"/>
    <n v="0"/>
  </r>
  <r>
    <x v="168"/>
    <x v="16"/>
    <x v="17"/>
    <x v="31"/>
    <n v="0"/>
    <m/>
    <n v="0"/>
    <n v="0"/>
    <m/>
    <n v="0"/>
    <n v="5916"/>
    <n v="0"/>
    <n v="5916"/>
    <n v="0"/>
    <n v="0"/>
    <n v="0"/>
  </r>
  <r>
    <x v="169"/>
    <x v="8"/>
    <x v="12"/>
    <x v="43"/>
    <n v="0"/>
    <m/>
    <n v="0"/>
    <n v="0"/>
    <m/>
    <n v="0"/>
    <n v="1570177"/>
    <n v="0"/>
    <n v="1570177"/>
    <n v="0"/>
    <n v="0"/>
    <n v="0"/>
  </r>
  <r>
    <x v="170"/>
    <x v="4"/>
    <x v="4"/>
    <x v="5"/>
    <n v="0"/>
    <m/>
    <n v="0"/>
    <n v="0"/>
    <m/>
    <n v="0"/>
    <n v="0"/>
    <n v="0"/>
    <n v="0"/>
    <n v="15060978"/>
    <n v="0"/>
    <n v="15060978"/>
  </r>
  <r>
    <x v="171"/>
    <x v="8"/>
    <x v="7"/>
    <x v="9"/>
    <n v="75600"/>
    <m/>
    <n v="75600"/>
    <n v="0"/>
    <m/>
    <n v="0"/>
    <n v="72000"/>
    <n v="0"/>
    <n v="72000"/>
    <n v="0"/>
    <n v="0"/>
    <n v="0"/>
  </r>
  <r>
    <x v="172"/>
    <x v="8"/>
    <x v="7"/>
    <x v="9"/>
    <n v="365711.4"/>
    <m/>
    <n v="365711.4"/>
    <n v="0"/>
    <m/>
    <n v="0"/>
    <n v="262736"/>
    <n v="0"/>
    <n v="262736"/>
    <n v="0"/>
    <n v="0"/>
    <n v="0"/>
  </r>
  <r>
    <x v="173"/>
    <x v="8"/>
    <x v="7"/>
    <x v="15"/>
    <n v="83424461"/>
    <m/>
    <n v="83424461"/>
    <n v="0"/>
    <m/>
    <n v="0"/>
    <n v="69613175"/>
    <n v="0"/>
    <n v="69613175"/>
    <n v="0"/>
    <n v="0"/>
    <n v="0"/>
  </r>
  <r>
    <x v="174"/>
    <x v="8"/>
    <x v="7"/>
    <x v="9"/>
    <n v="301632"/>
    <m/>
    <n v="301632"/>
    <n v="0"/>
    <m/>
    <n v="0"/>
    <n v="240223"/>
    <n v="0"/>
    <n v="240223"/>
    <n v="0"/>
    <n v="0"/>
    <n v="0"/>
  </r>
  <r>
    <x v="175"/>
    <x v="8"/>
    <x v="8"/>
    <x v="28"/>
    <n v="50000"/>
    <m/>
    <n v="50000"/>
    <n v="0"/>
    <m/>
    <n v="0"/>
    <n v="50000"/>
    <n v="0"/>
    <n v="50000"/>
    <n v="0"/>
    <n v="0"/>
    <n v="0"/>
  </r>
  <r>
    <x v="176"/>
    <x v="8"/>
    <x v="7"/>
    <x v="9"/>
    <n v="30878.05"/>
    <m/>
    <n v="30878.05"/>
    <n v="0"/>
    <m/>
    <n v="0"/>
    <n v="0"/>
    <n v="0"/>
    <n v="0"/>
    <n v="0"/>
    <n v="0"/>
    <n v="0"/>
  </r>
  <r>
    <x v="177"/>
    <x v="8"/>
    <x v="7"/>
    <x v="44"/>
    <n v="2829820"/>
    <m/>
    <n v="2829820"/>
    <n v="0"/>
    <m/>
    <n v="0"/>
    <n v="3282001"/>
    <n v="0"/>
    <n v="3282001"/>
    <n v="0"/>
    <n v="0"/>
    <n v="0"/>
  </r>
  <r>
    <x v="178"/>
    <x v="0"/>
    <x v="0"/>
    <x v="0"/>
    <n v="0"/>
    <m/>
    <n v="0"/>
    <n v="370401"/>
    <m/>
    <n v="370401"/>
    <n v="0"/>
    <n v="0"/>
    <n v="0"/>
    <n v="387409"/>
    <n v="0"/>
    <n v="387409"/>
  </r>
  <r>
    <x v="179"/>
    <x v="6"/>
    <x v="6"/>
    <x v="7"/>
    <n v="1767870"/>
    <m/>
    <n v="1767870"/>
    <n v="0"/>
    <m/>
    <n v="0"/>
    <n v="1767870"/>
    <n v="0"/>
    <n v="1767870"/>
    <n v="0"/>
    <n v="0"/>
    <n v="0"/>
  </r>
  <r>
    <x v="180"/>
    <x v="20"/>
    <x v="23"/>
    <x v="45"/>
    <n v="0"/>
    <m/>
    <n v="0"/>
    <n v="697771"/>
    <n v="191396.66984900087"/>
    <n v="889167.66984900087"/>
    <n v="0"/>
    <n v="0"/>
    <n v="0"/>
    <n v="1231216"/>
    <n v="0"/>
    <n v="1231216"/>
  </r>
  <r>
    <x v="181"/>
    <x v="16"/>
    <x v="17"/>
    <x v="31"/>
    <n v="0"/>
    <m/>
    <n v="0"/>
    <n v="0"/>
    <m/>
    <n v="0"/>
    <n v="150805"/>
    <n v="0"/>
    <n v="150805"/>
    <n v="0"/>
    <n v="0"/>
    <n v="0"/>
  </r>
  <r>
    <x v="182"/>
    <x v="13"/>
    <x v="14"/>
    <x v="26"/>
    <n v="33965000"/>
    <m/>
    <n v="33965000"/>
    <n v="0"/>
    <m/>
    <n v="0"/>
    <n v="33965000"/>
    <n v="0"/>
    <n v="33965000"/>
    <n v="0"/>
    <n v="0"/>
    <n v="0"/>
  </r>
  <r>
    <x v="183"/>
    <x v="13"/>
    <x v="14"/>
    <x v="26"/>
    <n v="1884828.03"/>
    <m/>
    <n v="1884828.03"/>
    <n v="0"/>
    <m/>
    <n v="0"/>
    <n v="1344196.03"/>
    <n v="0"/>
    <n v="1344196.03"/>
    <n v="0"/>
    <n v="0"/>
    <n v="0"/>
  </r>
  <r>
    <x v="184"/>
    <x v="0"/>
    <x v="0"/>
    <x v="1"/>
    <n v="0"/>
    <m/>
    <n v="0"/>
    <n v="65007"/>
    <m/>
    <n v="65007"/>
    <n v="0"/>
    <n v="0"/>
    <n v="0"/>
    <n v="0"/>
    <n v="0"/>
    <n v="0"/>
  </r>
  <r>
    <x v="185"/>
    <x v="7"/>
    <x v="15"/>
    <x v="46"/>
    <n v="0"/>
    <m/>
    <n v="0"/>
    <n v="1800000"/>
    <m/>
    <n v="1800000"/>
    <n v="0"/>
    <n v="0"/>
    <n v="0"/>
    <n v="1800000"/>
    <n v="0"/>
    <n v="1800000"/>
  </r>
  <r>
    <x v="186"/>
    <x v="0"/>
    <x v="0"/>
    <x v="1"/>
    <n v="0"/>
    <m/>
    <n v="0"/>
    <n v="242667"/>
    <m/>
    <n v="242667"/>
    <n v="0"/>
    <n v="0"/>
    <n v="0"/>
    <n v="0"/>
    <n v="0"/>
    <n v="0"/>
  </r>
  <r>
    <x v="187"/>
    <x v="19"/>
    <x v="21"/>
    <x v="42"/>
    <n v="871518"/>
    <m/>
    <n v="871518"/>
    <n v="0"/>
    <m/>
    <n v="0"/>
    <n v="912232"/>
    <n v="0"/>
    <n v="912232"/>
    <n v="0"/>
    <n v="0"/>
    <n v="0"/>
  </r>
  <r>
    <x v="188"/>
    <x v="0"/>
    <x v="0"/>
    <x v="0"/>
    <n v="0"/>
    <m/>
    <n v="0"/>
    <n v="74340"/>
    <m/>
    <n v="74340"/>
    <n v="0"/>
    <n v="0"/>
    <n v="0"/>
    <n v="0"/>
    <n v="0"/>
    <n v="0"/>
  </r>
  <r>
    <x v="189"/>
    <x v="8"/>
    <x v="8"/>
    <x v="32"/>
    <n v="30000"/>
    <m/>
    <n v="30000"/>
    <n v="0"/>
    <m/>
    <n v="0"/>
    <m/>
    <m/>
    <m/>
    <m/>
    <m/>
    <m/>
  </r>
  <r>
    <x v="190"/>
    <x v="8"/>
    <x v="8"/>
    <x v="32"/>
    <n v="0"/>
    <m/>
    <n v="0"/>
    <n v="0"/>
    <m/>
    <n v="0"/>
    <n v="30000"/>
    <n v="0"/>
    <n v="30000"/>
    <n v="0"/>
    <n v="0"/>
    <n v="0"/>
  </r>
  <r>
    <x v="191"/>
    <x v="0"/>
    <x v="0"/>
    <x v="0"/>
    <n v="0"/>
    <m/>
    <n v="0"/>
    <n v="0"/>
    <m/>
    <n v="0"/>
    <n v="0"/>
    <n v="0"/>
    <n v="0"/>
    <n v="30000"/>
    <n v="0"/>
    <n v="30000"/>
  </r>
  <r>
    <x v="192"/>
    <x v="0"/>
    <x v="0"/>
    <x v="0"/>
    <n v="0"/>
    <m/>
    <n v="0"/>
    <n v="27000"/>
    <m/>
    <n v="27000"/>
    <n v="0"/>
    <n v="0"/>
    <n v="0"/>
    <n v="0"/>
    <n v="0"/>
    <n v="0"/>
  </r>
  <r>
    <x v="193"/>
    <x v="8"/>
    <x v="8"/>
    <x v="11"/>
    <n v="36000"/>
    <m/>
    <n v="36000"/>
    <n v="0"/>
    <m/>
    <n v="0"/>
    <n v="18000"/>
    <n v="0"/>
    <n v="18000"/>
    <n v="0"/>
    <n v="0"/>
    <n v="0"/>
  </r>
  <r>
    <x v="194"/>
    <x v="0"/>
    <x v="0"/>
    <x v="0"/>
    <n v="0"/>
    <m/>
    <n v="0"/>
    <n v="75205"/>
    <m/>
    <n v="75205"/>
    <n v="0"/>
    <n v="0"/>
    <n v="0"/>
    <n v="0"/>
    <n v="0"/>
    <n v="0"/>
  </r>
  <r>
    <x v="195"/>
    <x v="3"/>
    <x v="3"/>
    <x v="10"/>
    <n v="0"/>
    <m/>
    <n v="0"/>
    <n v="1418464"/>
    <m/>
    <n v="1418464"/>
    <n v="0"/>
    <n v="0"/>
    <n v="0"/>
    <n v="1320768"/>
    <n v="0"/>
    <n v="1320768"/>
  </r>
  <r>
    <x v="196"/>
    <x v="10"/>
    <x v="10"/>
    <x v="13"/>
    <n v="34000"/>
    <m/>
    <n v="34000"/>
    <n v="0"/>
    <m/>
    <n v="0"/>
    <n v="15000"/>
    <n v="0"/>
    <n v="15000"/>
    <n v="0"/>
    <n v="0"/>
    <n v="0"/>
  </r>
  <r>
    <x v="197"/>
    <x v="0"/>
    <x v="0"/>
    <x v="1"/>
    <n v="0"/>
    <m/>
    <n v="0"/>
    <n v="238416"/>
    <m/>
    <n v="238416"/>
    <n v="0"/>
    <n v="0"/>
    <n v="0"/>
    <n v="114473"/>
    <n v="0"/>
    <n v="114473"/>
  </r>
  <r>
    <x v="198"/>
    <x v="8"/>
    <x v="8"/>
    <x v="47"/>
    <n v="32000"/>
    <m/>
    <n v="32000"/>
    <n v="0"/>
    <m/>
    <n v="0"/>
    <n v="48000"/>
    <n v="0"/>
    <n v="48000"/>
    <n v="0"/>
    <n v="0"/>
    <n v="0"/>
  </r>
  <r>
    <x v="199"/>
    <x v="16"/>
    <x v="17"/>
    <x v="31"/>
    <n v="205342673"/>
    <m/>
    <n v="205342673"/>
    <n v="0"/>
    <m/>
    <n v="0"/>
    <n v="142111717"/>
    <n v="0"/>
    <n v="142111717"/>
    <n v="0"/>
    <n v="0"/>
    <n v="0"/>
  </r>
  <r>
    <x v="200"/>
    <x v="21"/>
    <x v="24"/>
    <x v="37"/>
    <n v="0"/>
    <m/>
    <n v="0"/>
    <n v="0"/>
    <m/>
    <n v="0"/>
    <n v="0"/>
    <n v="0"/>
    <n v="0"/>
    <n v="1486209"/>
    <n v="0"/>
    <n v="1486209"/>
  </r>
  <r>
    <x v="201"/>
    <x v="19"/>
    <x v="21"/>
    <x v="39"/>
    <n v="0"/>
    <m/>
    <n v="0"/>
    <n v="813182"/>
    <m/>
    <n v="813182"/>
    <n v="1234315"/>
    <n v="0"/>
    <n v="1234315"/>
    <n v="0"/>
    <n v="0"/>
    <n v="0"/>
  </r>
  <r>
    <x v="202"/>
    <x v="0"/>
    <x v="0"/>
    <x v="1"/>
    <n v="0"/>
    <m/>
    <n v="0"/>
    <n v="0"/>
    <m/>
    <n v="0"/>
    <n v="0"/>
    <n v="0"/>
    <n v="0"/>
    <n v="708000"/>
    <n v="0"/>
    <n v="708000"/>
  </r>
  <r>
    <x v="203"/>
    <x v="8"/>
    <x v="12"/>
    <x v="48"/>
    <n v="250506"/>
    <m/>
    <n v="250506"/>
    <n v="0"/>
    <m/>
    <n v="0"/>
    <n v="369150"/>
    <n v="0"/>
    <n v="369150"/>
    <n v="0"/>
    <n v="0"/>
    <n v="0"/>
  </r>
  <r>
    <x v="204"/>
    <x v="8"/>
    <x v="8"/>
    <x v="49"/>
    <n v="1422847"/>
    <m/>
    <n v="1422847"/>
    <n v="0"/>
    <m/>
    <n v="0"/>
    <n v="1140533"/>
    <n v="0"/>
    <n v="1140533"/>
    <n v="0"/>
    <n v="0"/>
    <n v="0"/>
  </r>
  <r>
    <x v="205"/>
    <x v="1"/>
    <x v="1"/>
    <x v="50"/>
    <n v="176191"/>
    <m/>
    <n v="176191"/>
    <n v="0"/>
    <m/>
    <n v="0"/>
    <n v="360609"/>
    <n v="0"/>
    <n v="360609"/>
    <n v="0"/>
    <n v="0"/>
    <n v="0"/>
  </r>
  <r>
    <x v="206"/>
    <x v="1"/>
    <x v="1"/>
    <x v="51"/>
    <n v="458043"/>
    <m/>
    <n v="458043"/>
    <n v="0"/>
    <m/>
    <n v="0"/>
    <n v="579346"/>
    <n v="0"/>
    <n v="579346"/>
    <n v="0"/>
    <n v="0"/>
    <n v="0"/>
  </r>
  <r>
    <x v="207"/>
    <x v="0"/>
    <x v="0"/>
    <x v="1"/>
    <n v="0"/>
    <m/>
    <n v="0"/>
    <n v="0"/>
    <m/>
    <n v="0"/>
    <n v="11945"/>
    <n v="0"/>
    <n v="11945"/>
    <n v="0"/>
    <n v="0"/>
    <n v="0"/>
  </r>
  <r>
    <x v="208"/>
    <x v="20"/>
    <x v="23"/>
    <x v="52"/>
    <n v="0"/>
    <m/>
    <n v="0"/>
    <n v="202145.39"/>
    <m/>
    <n v="202145.39"/>
    <n v="0"/>
    <n v="0"/>
    <n v="0"/>
    <n v="160002.60999999999"/>
    <n v="0"/>
    <n v="160002.60999999999"/>
  </r>
  <r>
    <x v="209"/>
    <x v="12"/>
    <x v="13"/>
    <x v="53"/>
    <n v="0"/>
    <m/>
    <n v="0"/>
    <n v="0"/>
    <m/>
    <n v="0"/>
    <n v="115865.81"/>
    <n v="0"/>
    <n v="115865.81"/>
    <n v="0"/>
    <n v="0"/>
    <n v="0"/>
  </r>
  <r>
    <x v="210"/>
    <x v="12"/>
    <x v="13"/>
    <x v="53"/>
    <n v="0"/>
    <m/>
    <n v="0"/>
    <n v="0"/>
    <m/>
    <n v="0"/>
    <n v="143075.34"/>
    <n v="0"/>
    <n v="143075.34"/>
    <n v="0"/>
    <n v="0"/>
    <n v="0"/>
  </r>
  <r>
    <x v="211"/>
    <x v="8"/>
    <x v="8"/>
    <x v="28"/>
    <n v="29309"/>
    <m/>
    <n v="29309"/>
    <n v="0"/>
    <m/>
    <n v="0"/>
    <n v="28228"/>
    <n v="0"/>
    <n v="28228"/>
    <n v="0"/>
    <n v="0"/>
    <n v="0"/>
  </r>
  <r>
    <x v="212"/>
    <x v="8"/>
    <x v="8"/>
    <x v="28"/>
    <n v="61959"/>
    <m/>
    <n v="61959"/>
    <n v="0"/>
    <m/>
    <n v="0"/>
    <n v="14597"/>
    <n v="0"/>
    <n v="14597"/>
    <n v="0"/>
    <n v="0"/>
    <n v="0"/>
  </r>
  <r>
    <x v="213"/>
    <x v="8"/>
    <x v="8"/>
    <x v="28"/>
    <n v="668"/>
    <m/>
    <n v="668"/>
    <n v="0"/>
    <m/>
    <n v="0"/>
    <n v="11403"/>
    <n v="0"/>
    <n v="11403"/>
    <n v="0"/>
    <n v="0"/>
    <n v="0"/>
  </r>
  <r>
    <x v="214"/>
    <x v="8"/>
    <x v="8"/>
    <x v="28"/>
    <n v="0"/>
    <m/>
    <n v="0"/>
    <n v="0"/>
    <m/>
    <n v="0"/>
    <n v="154003"/>
    <n v="0"/>
    <n v="154003"/>
    <n v="0"/>
    <n v="0"/>
    <n v="0"/>
  </r>
  <r>
    <x v="215"/>
    <x v="8"/>
    <x v="8"/>
    <x v="28"/>
    <n v="2700"/>
    <m/>
    <n v="2700"/>
    <n v="0"/>
    <m/>
    <n v="0"/>
    <n v="2716"/>
    <n v="0"/>
    <n v="2716"/>
    <n v="0"/>
    <n v="0"/>
    <n v="0"/>
  </r>
  <r>
    <x v="216"/>
    <x v="8"/>
    <x v="8"/>
    <x v="28"/>
    <n v="35488"/>
    <m/>
    <n v="35488"/>
    <n v="0"/>
    <m/>
    <n v="0"/>
    <n v="44863"/>
    <n v="0"/>
    <n v="44863"/>
    <n v="0"/>
    <n v="0"/>
    <n v="0"/>
  </r>
  <r>
    <x v="217"/>
    <x v="8"/>
    <x v="8"/>
    <x v="28"/>
    <n v="4618"/>
    <m/>
    <n v="4618"/>
    <n v="0"/>
    <m/>
    <n v="0"/>
    <n v="6791"/>
    <n v="0"/>
    <n v="6791"/>
    <n v="0"/>
    <n v="0"/>
    <n v="0"/>
  </r>
  <r>
    <x v="218"/>
    <x v="12"/>
    <x v="13"/>
    <x v="53"/>
    <n v="6463408"/>
    <m/>
    <n v="6463408"/>
    <n v="0"/>
    <m/>
    <n v="0"/>
    <n v="4146914"/>
    <n v="0"/>
    <n v="4146914"/>
    <n v="0"/>
    <n v="0"/>
    <n v="0"/>
  </r>
  <r>
    <x v="219"/>
    <x v="12"/>
    <x v="13"/>
    <x v="53"/>
    <n v="1926416"/>
    <m/>
    <n v="1926416"/>
    <n v="0"/>
    <m/>
    <n v="0"/>
    <n v="1795701"/>
    <n v="0"/>
    <n v="1795701"/>
    <n v="0"/>
    <n v="0"/>
    <n v="0"/>
  </r>
  <r>
    <x v="220"/>
    <x v="8"/>
    <x v="8"/>
    <x v="54"/>
    <n v="200000"/>
    <m/>
    <n v="200000"/>
    <n v="0"/>
    <m/>
    <n v="0"/>
    <n v="200000"/>
    <n v="0"/>
    <n v="200000"/>
    <n v="0"/>
    <n v="0"/>
    <n v="0"/>
  </r>
  <r>
    <x v="221"/>
    <x v="0"/>
    <x v="0"/>
    <x v="1"/>
    <n v="0"/>
    <m/>
    <n v="0"/>
    <n v="1780152"/>
    <m/>
    <n v="1780152"/>
    <n v="0"/>
    <n v="0"/>
    <n v="0"/>
    <n v="828637"/>
    <n v="0"/>
    <n v="828637"/>
  </r>
  <r>
    <x v="222"/>
    <x v="0"/>
    <x v="0"/>
    <x v="1"/>
    <n v="0"/>
    <m/>
    <n v="0"/>
    <n v="2129493"/>
    <m/>
    <n v="2129493"/>
    <n v="0"/>
    <n v="0"/>
    <n v="0"/>
    <n v="2686453"/>
    <n v="0"/>
    <n v="2686453"/>
  </r>
  <r>
    <x v="223"/>
    <x v="2"/>
    <x v="2"/>
    <x v="3"/>
    <n v="231314"/>
    <m/>
    <n v="231314"/>
    <n v="0"/>
    <m/>
    <n v="0"/>
    <n v="0"/>
    <n v="0"/>
    <n v="0"/>
    <n v="0"/>
    <n v="0"/>
    <n v="0"/>
  </r>
  <r>
    <x v="224"/>
    <x v="11"/>
    <x v="11"/>
    <x v="17"/>
    <n v="0"/>
    <m/>
    <n v="0"/>
    <n v="0"/>
    <m/>
    <n v="0"/>
    <n v="700000"/>
    <n v="0"/>
    <n v="700000"/>
    <n v="0"/>
    <n v="0"/>
    <n v="0"/>
  </r>
  <r>
    <x v="225"/>
    <x v="3"/>
    <x v="3"/>
    <x v="10"/>
    <n v="0"/>
    <m/>
    <n v="0"/>
    <n v="6623037"/>
    <m/>
    <n v="6623037"/>
    <n v="0"/>
    <n v="0"/>
    <n v="0"/>
    <n v="5747563"/>
    <n v="0"/>
    <n v="5747563"/>
  </r>
  <r>
    <x v="226"/>
    <x v="2"/>
    <x v="2"/>
    <x v="3"/>
    <n v="0"/>
    <m/>
    <n v="0"/>
    <n v="0"/>
    <m/>
    <n v="0"/>
    <n v="1310924"/>
    <n v="0"/>
    <n v="1310924"/>
    <n v="0"/>
    <n v="0"/>
    <n v="0"/>
  </r>
  <r>
    <x v="227"/>
    <x v="10"/>
    <x v="10"/>
    <x v="13"/>
    <n v="27000"/>
    <m/>
    <n v="27000"/>
    <n v="0"/>
    <m/>
    <n v="0"/>
    <n v="20000"/>
    <n v="0"/>
    <n v="20000"/>
    <n v="0"/>
    <n v="0"/>
    <n v="0"/>
  </r>
  <r>
    <x v="228"/>
    <x v="0"/>
    <x v="0"/>
    <x v="0"/>
    <n v="0"/>
    <m/>
    <n v="0"/>
    <n v="6711"/>
    <m/>
    <n v="6711"/>
    <n v="0"/>
    <n v="0"/>
    <n v="0"/>
    <n v="4130"/>
    <n v="0"/>
    <n v="4130"/>
  </r>
  <r>
    <x v="229"/>
    <x v="3"/>
    <x v="3"/>
    <x v="10"/>
    <n v="0"/>
    <m/>
    <n v="0"/>
    <n v="4071040"/>
    <m/>
    <n v="4071040"/>
    <n v="0"/>
    <n v="0"/>
    <n v="0"/>
    <n v="3790656"/>
    <n v="0"/>
    <n v="3790656"/>
  </r>
  <r>
    <x v="230"/>
    <x v="0"/>
    <x v="0"/>
    <x v="1"/>
    <n v="0"/>
    <m/>
    <n v="0"/>
    <n v="12525978.300000001"/>
    <m/>
    <n v="12525978.300000001"/>
    <n v="0"/>
    <n v="0"/>
    <n v="0"/>
    <n v="17205005.399999999"/>
    <n v="0"/>
    <n v="17205005.399999999"/>
  </r>
  <r>
    <x v="231"/>
    <x v="0"/>
    <x v="0"/>
    <x v="1"/>
    <n v="0"/>
    <m/>
    <n v="0"/>
    <n v="0"/>
    <m/>
    <n v="0"/>
    <n v="0"/>
    <n v="0"/>
    <n v="0"/>
    <n v="5788"/>
    <n v="0"/>
    <n v="5788"/>
  </r>
  <r>
    <x v="232"/>
    <x v="10"/>
    <x v="10"/>
    <x v="13"/>
    <n v="2000"/>
    <m/>
    <n v="2000"/>
    <n v="0"/>
    <m/>
    <n v="0"/>
    <n v="14000"/>
    <n v="0"/>
    <n v="14000"/>
    <n v="0"/>
    <n v="0"/>
    <n v="0"/>
  </r>
  <r>
    <x v="233"/>
    <x v="0"/>
    <x v="0"/>
    <x v="0"/>
    <n v="0"/>
    <m/>
    <n v="0"/>
    <n v="42465"/>
    <m/>
    <n v="42465"/>
    <n v="0"/>
    <n v="0"/>
    <n v="0"/>
    <n v="44466"/>
    <n v="0"/>
    <n v="44466"/>
  </r>
  <r>
    <x v="234"/>
    <x v="8"/>
    <x v="8"/>
    <x v="28"/>
    <n v="13776"/>
    <m/>
    <n v="13776"/>
    <n v="0"/>
    <m/>
    <n v="0"/>
    <n v="13680"/>
    <n v="0"/>
    <n v="13680"/>
    <n v="0"/>
    <n v="0"/>
    <n v="0"/>
  </r>
  <r>
    <x v="235"/>
    <x v="2"/>
    <x v="2"/>
    <x v="3"/>
    <n v="23215022"/>
    <m/>
    <n v="23215022"/>
    <n v="0"/>
    <m/>
    <n v="0"/>
    <n v="42218801"/>
    <n v="0"/>
    <n v="42218801"/>
    <n v="0"/>
    <n v="0"/>
    <n v="0"/>
  </r>
  <r>
    <x v="236"/>
    <x v="8"/>
    <x v="8"/>
    <x v="28"/>
    <n v="279"/>
    <m/>
    <n v="279"/>
    <n v="0"/>
    <m/>
    <n v="0"/>
    <n v="676"/>
    <n v="0"/>
    <n v="676"/>
    <n v="0"/>
    <n v="0"/>
    <n v="0"/>
  </r>
  <r>
    <x v="237"/>
    <x v="19"/>
    <x v="21"/>
    <x v="39"/>
    <n v="233275"/>
    <m/>
    <n v="233275"/>
    <n v="0"/>
    <m/>
    <n v="0"/>
    <n v="221807"/>
    <n v="0"/>
    <n v="221807"/>
    <n v="0"/>
    <n v="0"/>
    <n v="0"/>
  </r>
  <r>
    <x v="238"/>
    <x v="21"/>
    <x v="24"/>
    <x v="37"/>
    <n v="0"/>
    <m/>
    <n v="0"/>
    <n v="233275"/>
    <m/>
    <n v="233275"/>
    <n v="0"/>
    <n v="0"/>
    <n v="0"/>
    <n v="221807"/>
    <n v="0"/>
    <n v="221807"/>
  </r>
  <r>
    <x v="239"/>
    <x v="8"/>
    <x v="8"/>
    <x v="32"/>
    <n v="124144"/>
    <m/>
    <n v="124144"/>
    <n v="0"/>
    <m/>
    <n v="0"/>
    <n v="470250"/>
    <n v="0"/>
    <n v="470250"/>
    <n v="0"/>
    <n v="0"/>
    <n v="0"/>
  </r>
  <r>
    <x v="240"/>
    <x v="0"/>
    <x v="0"/>
    <x v="1"/>
    <n v="0"/>
    <m/>
    <n v="0"/>
    <n v="2296047.5"/>
    <m/>
    <n v="2296047.5"/>
    <n v="0"/>
    <n v="0"/>
    <n v="0"/>
    <n v="10694991.5"/>
    <n v="0"/>
    <n v="10694991.5"/>
  </r>
  <r>
    <x v="241"/>
    <x v="8"/>
    <x v="7"/>
    <x v="29"/>
    <n v="278137"/>
    <m/>
    <n v="278137"/>
    <n v="0"/>
    <m/>
    <n v="0"/>
    <n v="153090"/>
    <n v="0"/>
    <n v="153090"/>
    <n v="0"/>
    <n v="0"/>
    <n v="0"/>
  </r>
  <r>
    <x v="242"/>
    <x v="8"/>
    <x v="7"/>
    <x v="29"/>
    <n v="2223912"/>
    <m/>
    <n v="2223912"/>
    <n v="0"/>
    <m/>
    <n v="0"/>
    <n v="1590159"/>
    <n v="0"/>
    <n v="1590159"/>
    <n v="0"/>
    <n v="0"/>
    <n v="0"/>
  </r>
  <r>
    <x v="243"/>
    <x v="8"/>
    <x v="7"/>
    <x v="29"/>
    <n v="225741.23"/>
    <m/>
    <n v="225741.23"/>
    <n v="0"/>
    <m/>
    <n v="0"/>
    <n v="308026.14"/>
    <n v="0"/>
    <n v="308026.14"/>
    <n v="0"/>
    <n v="0"/>
    <n v="0"/>
  </r>
  <r>
    <x v="244"/>
    <x v="8"/>
    <x v="7"/>
    <x v="29"/>
    <n v="3638432.81"/>
    <m/>
    <n v="3638432.81"/>
    <n v="0"/>
    <m/>
    <n v="0"/>
    <n v="3724110.85"/>
    <n v="0"/>
    <n v="3724110.85"/>
    <n v="0"/>
    <n v="0"/>
    <n v="0"/>
  </r>
  <r>
    <x v="245"/>
    <x v="1"/>
    <x v="1"/>
    <x v="2"/>
    <n v="7944212"/>
    <m/>
    <n v="7944212"/>
    <n v="0"/>
    <m/>
    <n v="0"/>
    <n v="91778"/>
    <n v="0"/>
    <n v="91778"/>
    <n v="0"/>
    <n v="0"/>
    <n v="0"/>
  </r>
  <r>
    <x v="246"/>
    <x v="10"/>
    <x v="10"/>
    <x v="13"/>
    <n v="21000"/>
    <m/>
    <n v="21000"/>
    <n v="0"/>
    <m/>
    <n v="0"/>
    <n v="5000"/>
    <n v="0"/>
    <n v="5000"/>
    <n v="0"/>
    <n v="0"/>
    <n v="0"/>
  </r>
  <r>
    <x v="247"/>
    <x v="0"/>
    <x v="0"/>
    <x v="0"/>
    <n v="0"/>
    <m/>
    <n v="0"/>
    <n v="218293"/>
    <m/>
    <n v="218293"/>
    <n v="0"/>
    <n v="0"/>
    <n v="0"/>
    <n v="0"/>
    <n v="0"/>
    <n v="0"/>
  </r>
  <r>
    <x v="248"/>
    <x v="0"/>
    <x v="0"/>
    <x v="0"/>
    <n v="0"/>
    <m/>
    <n v="0"/>
    <n v="27100"/>
    <m/>
    <n v="27100"/>
    <n v="0"/>
    <n v="0"/>
    <n v="0"/>
    <n v="0"/>
    <n v="0"/>
    <n v="0"/>
  </r>
  <r>
    <x v="249"/>
    <x v="10"/>
    <x v="10"/>
    <x v="13"/>
    <n v="32000"/>
    <m/>
    <n v="32000"/>
    <n v="0"/>
    <m/>
    <n v="0"/>
    <n v="39000"/>
    <n v="0"/>
    <n v="39000"/>
    <n v="0"/>
    <n v="0"/>
    <n v="0"/>
  </r>
  <r>
    <x v="250"/>
    <x v="19"/>
    <x v="21"/>
    <x v="55"/>
    <n v="194520"/>
    <m/>
    <n v="194520"/>
    <n v="0"/>
    <m/>
    <n v="0"/>
    <n v="198462"/>
    <n v="0"/>
    <n v="198462"/>
    <n v="0"/>
    <n v="0"/>
    <n v="0"/>
  </r>
  <r>
    <x v="251"/>
    <x v="8"/>
    <x v="8"/>
    <x v="11"/>
    <n v="0"/>
    <m/>
    <n v="0"/>
    <n v="0"/>
    <m/>
    <n v="0"/>
    <n v="550"/>
    <n v="0"/>
    <n v="550"/>
    <n v="0"/>
    <n v="0"/>
    <n v="0"/>
  </r>
  <r>
    <x v="252"/>
    <x v="10"/>
    <x v="10"/>
    <x v="13"/>
    <n v="0"/>
    <m/>
    <n v="0"/>
    <n v="0"/>
    <m/>
    <n v="0"/>
    <n v="9000"/>
    <n v="0"/>
    <n v="9000"/>
    <n v="0"/>
    <n v="0"/>
    <n v="0"/>
  </r>
  <r>
    <x v="253"/>
    <x v="0"/>
    <x v="0"/>
    <x v="0"/>
    <n v="0"/>
    <m/>
    <n v="0"/>
    <n v="0"/>
    <m/>
    <n v="0"/>
    <n v="0"/>
    <n v="0"/>
    <n v="0"/>
    <n v="5161"/>
    <n v="0"/>
    <n v="5161"/>
  </r>
  <r>
    <x v="254"/>
    <x v="10"/>
    <x v="10"/>
    <x v="13"/>
    <n v="14000"/>
    <m/>
    <n v="14000"/>
    <n v="0"/>
    <m/>
    <n v="0"/>
    <n v="9000"/>
    <n v="0"/>
    <n v="9000"/>
    <n v="0"/>
    <n v="0"/>
    <n v="0"/>
  </r>
  <r>
    <x v="255"/>
    <x v="8"/>
    <x v="8"/>
    <x v="25"/>
    <n v="145550"/>
    <m/>
    <n v="145550"/>
    <n v="0"/>
    <m/>
    <n v="0"/>
    <n v="136800"/>
    <n v="0"/>
    <n v="136800"/>
    <n v="0"/>
    <n v="0"/>
    <n v="0"/>
  </r>
  <r>
    <x v="256"/>
    <x v="8"/>
    <x v="8"/>
    <x v="25"/>
    <n v="106100"/>
    <m/>
    <n v="106100"/>
    <n v="0"/>
    <m/>
    <n v="0"/>
    <n v="90200"/>
    <n v="0"/>
    <n v="90200"/>
    <n v="0"/>
    <n v="0"/>
    <n v="0"/>
  </r>
  <r>
    <x v="257"/>
    <x v="13"/>
    <x v="14"/>
    <x v="26"/>
    <n v="1123742.8799999999"/>
    <m/>
    <n v="1123742.8799999999"/>
    <n v="0"/>
    <m/>
    <n v="0"/>
    <n v="1123742.8799999999"/>
    <n v="0"/>
    <n v="1123742.8799999999"/>
    <n v="0"/>
    <n v="0"/>
    <n v="0"/>
  </r>
  <r>
    <x v="258"/>
    <x v="8"/>
    <x v="8"/>
    <x v="25"/>
    <n v="85992.9"/>
    <m/>
    <n v="85992.9"/>
    <n v="0"/>
    <m/>
    <n v="0"/>
    <n v="59557.440000000002"/>
    <n v="0"/>
    <n v="59557.440000000002"/>
    <n v="0"/>
    <n v="0"/>
    <n v="0"/>
  </r>
  <r>
    <x v="259"/>
    <x v="8"/>
    <x v="8"/>
    <x v="47"/>
    <n v="610000"/>
    <m/>
    <n v="610000"/>
    <n v="0"/>
    <m/>
    <n v="0"/>
    <n v="420000"/>
    <n v="0"/>
    <n v="420000"/>
    <n v="0"/>
    <n v="0"/>
    <n v="0"/>
  </r>
  <r>
    <x v="260"/>
    <x v="8"/>
    <x v="8"/>
    <x v="25"/>
    <n v="50928"/>
    <m/>
    <n v="50928"/>
    <n v="0"/>
    <m/>
    <n v="0"/>
    <n v="54503"/>
    <n v="0"/>
    <n v="54503"/>
    <n v="0"/>
    <n v="0"/>
    <n v="0"/>
  </r>
  <r>
    <x v="261"/>
    <x v="1"/>
    <x v="1"/>
    <x v="2"/>
    <n v="0"/>
    <m/>
    <n v="0"/>
    <n v="0"/>
    <m/>
    <n v="0"/>
    <n v="20000"/>
    <n v="0"/>
    <n v="20000"/>
    <n v="0"/>
    <n v="0"/>
    <n v="0"/>
  </r>
  <r>
    <x v="262"/>
    <x v="7"/>
    <x v="25"/>
    <x v="56"/>
    <n v="51593267"/>
    <m/>
    <n v="51593267"/>
    <n v="0"/>
    <m/>
    <n v="0"/>
    <n v="63133700"/>
    <n v="0"/>
    <n v="63133700"/>
    <n v="0"/>
    <n v="0"/>
    <n v="0"/>
  </r>
  <r>
    <x v="263"/>
    <x v="2"/>
    <x v="2"/>
    <x v="3"/>
    <n v="311747"/>
    <m/>
    <n v="311747"/>
    <n v="0"/>
    <m/>
    <n v="0"/>
    <n v="359743"/>
    <n v="0"/>
    <n v="359743"/>
    <n v="0"/>
    <n v="0"/>
    <n v="0"/>
  </r>
  <r>
    <x v="264"/>
    <x v="16"/>
    <x v="17"/>
    <x v="31"/>
    <n v="28831"/>
    <m/>
    <n v="28831"/>
    <n v="0"/>
    <m/>
    <n v="0"/>
    <n v="21740"/>
    <n v="0"/>
    <n v="21740"/>
    <n v="0"/>
    <n v="0"/>
    <n v="0"/>
  </r>
  <r>
    <x v="265"/>
    <x v="16"/>
    <x v="17"/>
    <x v="31"/>
    <n v="1200"/>
    <m/>
    <n v="1200"/>
    <n v="0"/>
    <m/>
    <n v="0"/>
    <n v="3400"/>
    <n v="0"/>
    <n v="3400"/>
    <n v="0"/>
    <n v="0"/>
    <n v="0"/>
  </r>
  <r>
    <x v="266"/>
    <x v="8"/>
    <x v="7"/>
    <x v="15"/>
    <n v="2569100"/>
    <m/>
    <n v="2569100"/>
    <n v="0"/>
    <m/>
    <n v="0"/>
    <n v="5609421"/>
    <n v="0"/>
    <n v="5609421"/>
    <n v="0"/>
    <n v="0"/>
    <n v="0"/>
  </r>
  <r>
    <x v="267"/>
    <x v="8"/>
    <x v="7"/>
    <x v="57"/>
    <n v="13970"/>
    <m/>
    <n v="13970"/>
    <n v="0"/>
    <m/>
    <n v="0"/>
    <n v="3050"/>
    <n v="0"/>
    <n v="3050"/>
    <n v="0"/>
    <n v="0"/>
    <n v="0"/>
  </r>
  <r>
    <x v="268"/>
    <x v="16"/>
    <x v="17"/>
    <x v="31"/>
    <n v="216806"/>
    <m/>
    <n v="216806"/>
    <n v="0"/>
    <m/>
    <n v="0"/>
    <n v="175062.8"/>
    <n v="0"/>
    <n v="175062.8"/>
    <n v="0"/>
    <n v="0"/>
    <n v="0"/>
  </r>
  <r>
    <x v="269"/>
    <x v="4"/>
    <x v="4"/>
    <x v="5"/>
    <n v="0"/>
    <m/>
    <n v="0"/>
    <n v="505220"/>
    <m/>
    <n v="505220"/>
    <n v="0"/>
    <n v="0"/>
    <n v="0"/>
    <n v="393392"/>
    <n v="0"/>
    <n v="393392"/>
  </r>
  <r>
    <x v="270"/>
    <x v="8"/>
    <x v="7"/>
    <x v="57"/>
    <n v="10675054.880000001"/>
    <m/>
    <n v="10675054.880000001"/>
    <n v="0"/>
    <m/>
    <n v="0"/>
    <n v="9088041.2200000007"/>
    <n v="0"/>
    <n v="9088041.2200000007"/>
    <n v="0"/>
    <n v="0"/>
    <n v="0"/>
  </r>
  <r>
    <x v="271"/>
    <x v="2"/>
    <x v="2"/>
    <x v="3"/>
    <n v="0"/>
    <m/>
    <n v="0"/>
    <n v="0"/>
    <m/>
    <n v="0"/>
    <n v="0"/>
    <n v="0"/>
    <n v="0"/>
    <n v="733"/>
    <n v="0"/>
    <n v="733"/>
  </r>
  <r>
    <x v="272"/>
    <x v="0"/>
    <x v="0"/>
    <x v="1"/>
    <n v="0"/>
    <m/>
    <n v="0"/>
    <n v="56976"/>
    <m/>
    <n v="56976"/>
    <n v="0"/>
    <n v="0"/>
    <n v="0"/>
    <n v="0"/>
    <n v="0"/>
    <n v="0"/>
  </r>
  <r>
    <x v="273"/>
    <x v="0"/>
    <x v="0"/>
    <x v="0"/>
    <n v="0"/>
    <m/>
    <n v="0"/>
    <n v="356852"/>
    <m/>
    <n v="356852"/>
    <n v="0"/>
    <n v="0"/>
    <n v="0"/>
    <n v="329959"/>
    <n v="0"/>
    <n v="329959"/>
  </r>
  <r>
    <x v="274"/>
    <x v="0"/>
    <x v="0"/>
    <x v="0"/>
    <n v="0"/>
    <m/>
    <n v="0"/>
    <n v="465751"/>
    <m/>
    <n v="465751"/>
    <n v="0"/>
    <n v="0"/>
    <n v="0"/>
    <n v="472451"/>
    <n v="0"/>
    <n v="472451"/>
  </r>
  <r>
    <x v="275"/>
    <x v="0"/>
    <x v="0"/>
    <x v="0"/>
    <n v="0"/>
    <m/>
    <n v="0"/>
    <n v="509568"/>
    <m/>
    <n v="509568"/>
    <n v="0"/>
    <n v="0"/>
    <n v="0"/>
    <n v="535544"/>
    <n v="0"/>
    <n v="535544"/>
  </r>
  <r>
    <x v="276"/>
    <x v="8"/>
    <x v="8"/>
    <x v="28"/>
    <n v="225"/>
    <m/>
    <n v="225"/>
    <n v="0"/>
    <m/>
    <n v="0"/>
    <n v="50"/>
    <n v="0"/>
    <n v="50"/>
    <n v="0"/>
    <n v="0"/>
    <n v="0"/>
  </r>
  <r>
    <x v="277"/>
    <x v="8"/>
    <x v="8"/>
    <x v="28"/>
    <n v="2956"/>
    <m/>
    <n v="2956"/>
    <n v="0"/>
    <m/>
    <n v="0"/>
    <m/>
    <m/>
    <m/>
    <m/>
    <m/>
    <m/>
  </r>
  <r>
    <x v="278"/>
    <x v="8"/>
    <x v="8"/>
    <x v="28"/>
    <n v="226000"/>
    <m/>
    <n v="226000"/>
    <n v="0"/>
    <m/>
    <n v="0"/>
    <n v="46000"/>
    <n v="0"/>
    <n v="46000"/>
    <n v="0"/>
    <n v="0"/>
    <n v="0"/>
  </r>
  <r>
    <x v="279"/>
    <x v="8"/>
    <x v="8"/>
    <x v="28"/>
    <n v="225"/>
    <m/>
    <n v="225"/>
    <n v="0"/>
    <m/>
    <n v="0"/>
    <n v="50"/>
    <n v="0"/>
    <n v="50"/>
    <n v="0"/>
    <n v="0"/>
    <n v="0"/>
  </r>
  <r>
    <x v="280"/>
    <x v="8"/>
    <x v="8"/>
    <x v="28"/>
    <n v="0"/>
    <m/>
    <n v="0"/>
    <n v="0"/>
    <m/>
    <n v="0"/>
    <n v="2360"/>
    <n v="0"/>
    <n v="2360"/>
    <n v="0"/>
    <n v="0"/>
    <n v="0"/>
  </r>
  <r>
    <x v="281"/>
    <x v="13"/>
    <x v="14"/>
    <x v="26"/>
    <n v="222167592.13999999"/>
    <m/>
    <n v="222167592.13999999"/>
    <n v="0"/>
    <m/>
    <n v="0"/>
    <n v="222104414.13999999"/>
    <n v="0"/>
    <n v="222104414.13999999"/>
    <n v="0"/>
    <n v="0"/>
    <n v="0"/>
  </r>
  <r>
    <x v="282"/>
    <x v="8"/>
    <x v="8"/>
    <x v="11"/>
    <n v="84492"/>
    <m/>
    <n v="84492"/>
    <n v="0"/>
    <m/>
    <n v="0"/>
    <n v="111499"/>
    <n v="0"/>
    <n v="111499"/>
    <n v="0"/>
    <n v="0"/>
    <n v="0"/>
  </r>
  <r>
    <x v="283"/>
    <x v="0"/>
    <x v="0"/>
    <x v="0"/>
    <n v="9980"/>
    <m/>
    <n v="9980"/>
    <n v="0"/>
    <m/>
    <n v="0"/>
    <m/>
    <m/>
    <m/>
    <m/>
    <m/>
    <m/>
  </r>
  <r>
    <x v="284"/>
    <x v="0"/>
    <x v="0"/>
    <x v="0"/>
    <n v="0"/>
    <m/>
    <n v="0"/>
    <n v="7145017"/>
    <m/>
    <n v="7145017"/>
    <n v="0"/>
    <n v="0"/>
    <n v="0"/>
    <n v="6195758"/>
    <n v="0"/>
    <n v="6195758"/>
  </r>
  <r>
    <x v="285"/>
    <x v="0"/>
    <x v="0"/>
    <x v="0"/>
    <n v="0"/>
    <m/>
    <n v="0"/>
    <n v="2200000"/>
    <m/>
    <n v="2200000"/>
    <m/>
    <m/>
    <m/>
    <m/>
    <m/>
    <m/>
  </r>
  <r>
    <x v="286"/>
    <x v="0"/>
    <x v="0"/>
    <x v="0"/>
    <n v="2380"/>
    <m/>
    <n v="2380"/>
    <n v="0"/>
    <m/>
    <n v="0"/>
    <n v="0"/>
    <n v="0"/>
    <n v="0"/>
    <n v="0"/>
    <n v="0"/>
    <n v="0"/>
  </r>
  <r>
    <x v="287"/>
    <x v="2"/>
    <x v="2"/>
    <x v="3"/>
    <n v="2898184"/>
    <m/>
    <n v="2898184"/>
    <n v="0"/>
    <m/>
    <n v="0"/>
    <n v="12971715"/>
    <n v="0"/>
    <n v="12971715"/>
    <n v="0"/>
    <n v="0"/>
    <n v="0"/>
  </r>
  <r>
    <x v="288"/>
    <x v="1"/>
    <x v="1"/>
    <x v="51"/>
    <n v="758892"/>
    <m/>
    <n v="758892"/>
    <n v="0"/>
    <m/>
    <n v="0"/>
    <n v="519498"/>
    <n v="0"/>
    <n v="519498"/>
    <n v="0"/>
    <n v="0"/>
    <n v="0"/>
  </r>
  <r>
    <x v="289"/>
    <x v="6"/>
    <x v="6"/>
    <x v="7"/>
    <n v="164180"/>
    <m/>
    <n v="164180"/>
    <n v="0"/>
    <m/>
    <n v="0"/>
    <n v="0"/>
    <n v="0"/>
    <n v="0"/>
    <n v="0"/>
    <n v="0"/>
    <n v="0"/>
  </r>
  <r>
    <x v="290"/>
    <x v="8"/>
    <x v="8"/>
    <x v="32"/>
    <n v="671000"/>
    <m/>
    <n v="671000"/>
    <n v="0"/>
    <m/>
    <n v="0"/>
    <n v="1238830"/>
    <n v="0"/>
    <n v="1238830"/>
    <n v="0"/>
    <n v="0"/>
    <n v="0"/>
  </r>
  <r>
    <x v="291"/>
    <x v="8"/>
    <x v="8"/>
    <x v="28"/>
    <n v="10000"/>
    <m/>
    <n v="10000"/>
    <n v="0"/>
    <m/>
    <n v="0"/>
    <n v="0"/>
    <n v="0"/>
    <n v="0"/>
    <n v="0"/>
    <n v="0"/>
    <n v="0"/>
  </r>
  <r>
    <x v="292"/>
    <x v="7"/>
    <x v="15"/>
    <x v="58"/>
    <n v="0"/>
    <m/>
    <n v="0"/>
    <n v="164517556.99000001"/>
    <m/>
    <n v="164517556.99000001"/>
    <n v="0"/>
    <n v="0"/>
    <n v="0"/>
    <n v="159588193.24000001"/>
    <n v="0"/>
    <n v="159588193.24000001"/>
  </r>
  <r>
    <x v="293"/>
    <x v="7"/>
    <x v="15"/>
    <x v="58"/>
    <n v="0"/>
    <m/>
    <n v="0"/>
    <n v="453421"/>
    <m/>
    <n v="453421"/>
    <n v="0"/>
    <n v="0"/>
    <n v="0"/>
    <n v="1104075"/>
    <n v="0"/>
    <n v="1104075"/>
  </r>
  <r>
    <x v="294"/>
    <x v="4"/>
    <x v="4"/>
    <x v="59"/>
    <n v="0"/>
    <m/>
    <n v="0"/>
    <n v="9443500"/>
    <m/>
    <n v="9443500"/>
    <n v="0"/>
    <n v="0"/>
    <n v="0"/>
    <n v="9433000"/>
    <n v="0"/>
    <n v="9433000"/>
  </r>
  <r>
    <x v="295"/>
    <x v="19"/>
    <x v="21"/>
    <x v="42"/>
    <n v="1309161"/>
    <m/>
    <n v="1309161"/>
    <n v="0"/>
    <m/>
    <n v="0"/>
    <n v="1283384"/>
    <n v="0"/>
    <n v="1283384"/>
    <n v="0"/>
    <n v="0"/>
    <n v="0"/>
  </r>
  <r>
    <x v="296"/>
    <x v="18"/>
    <x v="19"/>
    <x v="37"/>
    <n v="0"/>
    <m/>
    <n v="0"/>
    <n v="5028548"/>
    <m/>
    <n v="5028548"/>
    <n v="0"/>
    <n v="0"/>
    <n v="0"/>
    <n v="4610451"/>
    <n v="0"/>
    <n v="4610451"/>
  </r>
  <r>
    <x v="297"/>
    <x v="13"/>
    <x v="14"/>
    <x v="60"/>
    <n v="0"/>
    <m/>
    <n v="0"/>
    <n v="8886648"/>
    <m/>
    <n v="8886648"/>
    <n v="0"/>
    <n v="0"/>
    <n v="0"/>
    <n v="7061027"/>
    <n v="0"/>
    <n v="7061027"/>
  </r>
  <r>
    <x v="298"/>
    <x v="13"/>
    <x v="14"/>
    <x v="60"/>
    <n v="0"/>
    <m/>
    <n v="0"/>
    <n v="771454"/>
    <m/>
    <n v="771454"/>
    <n v="0"/>
    <n v="0"/>
    <n v="0"/>
    <n v="730456"/>
    <n v="0"/>
    <n v="730456"/>
  </r>
  <r>
    <x v="299"/>
    <x v="13"/>
    <x v="14"/>
    <x v="60"/>
    <n v="0"/>
    <m/>
    <n v="0"/>
    <n v="19886895"/>
    <m/>
    <n v="19886895"/>
    <n v="0"/>
    <n v="0"/>
    <n v="0"/>
    <n v="18195794"/>
    <n v="0"/>
    <n v="18195794"/>
  </r>
  <r>
    <x v="300"/>
    <x v="13"/>
    <x v="14"/>
    <x v="60"/>
    <n v="0"/>
    <m/>
    <n v="0"/>
    <n v="379192"/>
    <m/>
    <n v="379192"/>
    <n v="0"/>
    <n v="0"/>
    <n v="0"/>
    <n v="379192"/>
    <n v="0"/>
    <n v="379192"/>
  </r>
  <r>
    <x v="301"/>
    <x v="13"/>
    <x v="14"/>
    <x v="60"/>
    <n v="0"/>
    <m/>
    <n v="0"/>
    <n v="1114747"/>
    <m/>
    <n v="1114747"/>
    <n v="0"/>
    <n v="0"/>
    <n v="0"/>
    <n v="1062735"/>
    <n v="0"/>
    <n v="1062735"/>
  </r>
  <r>
    <x v="302"/>
    <x v="13"/>
    <x v="14"/>
    <x v="60"/>
    <n v="0"/>
    <m/>
    <n v="0"/>
    <n v="817411"/>
    <m/>
    <n v="817411"/>
    <n v="0"/>
    <n v="0"/>
    <n v="0"/>
    <n v="712545"/>
    <n v="0"/>
    <n v="712545"/>
  </r>
  <r>
    <x v="303"/>
    <x v="13"/>
    <x v="14"/>
    <x v="60"/>
    <n v="0"/>
    <m/>
    <n v="0"/>
    <n v="127155757"/>
    <m/>
    <n v="127155757"/>
    <n v="0"/>
    <n v="0"/>
    <n v="0"/>
    <n v="113124922"/>
    <n v="0"/>
    <n v="113124922"/>
  </r>
  <r>
    <x v="304"/>
    <x v="13"/>
    <x v="14"/>
    <x v="60"/>
    <n v="0"/>
    <m/>
    <n v="0"/>
    <n v="1264103"/>
    <m/>
    <n v="1264103"/>
    <n v="0"/>
    <n v="0"/>
    <n v="0"/>
    <n v="927869"/>
    <n v="0"/>
    <n v="927869"/>
  </r>
  <r>
    <x v="305"/>
    <x v="9"/>
    <x v="9"/>
    <x v="12"/>
    <n v="34285"/>
    <m/>
    <n v="34285"/>
    <n v="0"/>
    <m/>
    <n v="0"/>
    <n v="34285"/>
    <n v="0"/>
    <n v="34285"/>
    <n v="0"/>
    <n v="0"/>
    <n v="0"/>
  </r>
  <r>
    <x v="306"/>
    <x v="9"/>
    <x v="9"/>
    <x v="12"/>
    <n v="0"/>
    <m/>
    <n v="0"/>
    <n v="0"/>
    <m/>
    <n v="0"/>
    <n v="3500000"/>
    <n v="0"/>
    <n v="3500000"/>
    <n v="0"/>
    <n v="0"/>
    <n v="0"/>
  </r>
  <r>
    <x v="307"/>
    <x v="9"/>
    <x v="9"/>
    <x v="12"/>
    <n v="17190"/>
    <m/>
    <n v="17190"/>
    <n v="0"/>
    <m/>
    <n v="0"/>
    <n v="17190"/>
    <n v="0"/>
    <n v="17190"/>
    <n v="0"/>
    <n v="0"/>
    <n v="0"/>
  </r>
  <r>
    <x v="308"/>
    <x v="9"/>
    <x v="9"/>
    <x v="12"/>
    <n v="122153"/>
    <m/>
    <n v="122153"/>
    <n v="0"/>
    <m/>
    <n v="0"/>
    <n v="122153"/>
    <n v="0"/>
    <n v="122153"/>
    <n v="0"/>
    <n v="0"/>
    <n v="0"/>
  </r>
  <r>
    <x v="309"/>
    <x v="9"/>
    <x v="9"/>
    <x v="12"/>
    <n v="88213"/>
    <m/>
    <n v="88213"/>
    <n v="0"/>
    <m/>
    <n v="0"/>
    <n v="88213"/>
    <n v="0"/>
    <n v="88213"/>
    <n v="0"/>
    <n v="0"/>
    <n v="0"/>
  </r>
  <r>
    <x v="310"/>
    <x v="9"/>
    <x v="9"/>
    <x v="12"/>
    <n v="139678"/>
    <m/>
    <n v="139678"/>
    <n v="0"/>
    <m/>
    <n v="0"/>
    <n v="139678"/>
    <n v="0"/>
    <n v="139678"/>
    <n v="0"/>
    <n v="0"/>
    <n v="0"/>
  </r>
  <r>
    <x v="311"/>
    <x v="9"/>
    <x v="9"/>
    <x v="12"/>
    <n v="271788"/>
    <m/>
    <n v="271788"/>
    <n v="0"/>
    <m/>
    <n v="0"/>
    <n v="271788"/>
    <n v="0"/>
    <n v="271788"/>
    <n v="0"/>
    <n v="0"/>
    <n v="0"/>
  </r>
  <r>
    <x v="312"/>
    <x v="18"/>
    <x v="19"/>
    <x v="37"/>
    <n v="0"/>
    <m/>
    <n v="0"/>
    <n v="3113797.7"/>
    <m/>
    <n v="3113797.7"/>
    <n v="0"/>
    <n v="0"/>
    <n v="0"/>
    <n v="3329437.7"/>
    <n v="0"/>
    <n v="3329437.7"/>
  </r>
  <r>
    <x v="313"/>
    <x v="11"/>
    <x v="11"/>
    <x v="61"/>
    <n v="17722075"/>
    <m/>
    <n v="17722075"/>
    <n v="0"/>
    <m/>
    <n v="0"/>
    <n v="16866441"/>
    <n v="0"/>
    <n v="16866441"/>
    <n v="0"/>
    <n v="0"/>
    <n v="0"/>
  </r>
  <r>
    <x v="314"/>
    <x v="0"/>
    <x v="0"/>
    <x v="1"/>
    <n v="0"/>
    <m/>
    <n v="0"/>
    <n v="251180"/>
    <m/>
    <n v="251180"/>
    <n v="0"/>
    <n v="0"/>
    <n v="0"/>
    <n v="1743178"/>
    <n v="0"/>
    <n v="1743178"/>
  </r>
  <r>
    <x v="315"/>
    <x v="16"/>
    <x v="17"/>
    <x v="31"/>
    <n v="293050"/>
    <m/>
    <n v="293050"/>
    <n v="0"/>
    <m/>
    <n v="0"/>
    <n v="340090"/>
    <n v="0"/>
    <n v="340090"/>
    <n v="0"/>
    <n v="0"/>
    <n v="0"/>
  </r>
  <r>
    <x v="316"/>
    <x v="8"/>
    <x v="7"/>
    <x v="15"/>
    <n v="3360110.98"/>
    <m/>
    <n v="3360110.98"/>
    <n v="0"/>
    <m/>
    <n v="0"/>
    <n v="5418764"/>
    <n v="0"/>
    <n v="5418764"/>
    <n v="0"/>
    <n v="0"/>
    <n v="0"/>
  </r>
  <r>
    <x v="317"/>
    <x v="8"/>
    <x v="7"/>
    <x v="57"/>
    <n v="300"/>
    <m/>
    <n v="300"/>
    <n v="0"/>
    <m/>
    <n v="0"/>
    <n v="0"/>
    <n v="0"/>
    <n v="0"/>
    <n v="0"/>
    <n v="0"/>
    <n v="0"/>
  </r>
  <r>
    <x v="318"/>
    <x v="16"/>
    <x v="17"/>
    <x v="31"/>
    <n v="15197750"/>
    <m/>
    <n v="15197750"/>
    <n v="0"/>
    <m/>
    <n v="0"/>
    <n v="0"/>
    <n v="0"/>
    <n v="0"/>
    <n v="0"/>
    <n v="0"/>
    <n v="0"/>
  </r>
  <r>
    <x v="319"/>
    <x v="8"/>
    <x v="7"/>
    <x v="62"/>
    <n v="13738207.939999999"/>
    <m/>
    <n v="13738207.939999999"/>
    <n v="0"/>
    <m/>
    <n v="0"/>
    <n v="17306494.390000001"/>
    <n v="0"/>
    <n v="17306494.390000001"/>
    <n v="0"/>
    <n v="0"/>
    <n v="0"/>
  </r>
  <r>
    <x v="320"/>
    <x v="0"/>
    <x v="0"/>
    <x v="0"/>
    <n v="0"/>
    <m/>
    <n v="0"/>
    <n v="39816"/>
    <m/>
    <n v="39816"/>
    <n v="0"/>
    <n v="0"/>
    <n v="0"/>
    <n v="68453"/>
    <n v="0"/>
    <n v="68453"/>
  </r>
  <r>
    <x v="321"/>
    <x v="2"/>
    <x v="2"/>
    <x v="3"/>
    <n v="960861.5"/>
    <m/>
    <n v="960861.5"/>
    <n v="0"/>
    <m/>
    <n v="0"/>
    <n v="1197020"/>
    <n v="0"/>
    <n v="1197020"/>
    <n v="0"/>
    <n v="0"/>
    <n v="0"/>
  </r>
  <r>
    <x v="322"/>
    <x v="2"/>
    <x v="2"/>
    <x v="3"/>
    <n v="0"/>
    <m/>
    <n v="0"/>
    <n v="0"/>
    <m/>
    <n v="0"/>
    <n v="14451586"/>
    <n v="0"/>
    <n v="14451586"/>
    <n v="0"/>
    <n v="0"/>
    <n v="0"/>
  </r>
  <r>
    <x v="323"/>
    <x v="0"/>
    <x v="0"/>
    <x v="1"/>
    <n v="0"/>
    <m/>
    <n v="0"/>
    <n v="1212197"/>
    <m/>
    <n v="1212197"/>
    <n v="0"/>
    <n v="0"/>
    <n v="0"/>
    <n v="1439364"/>
    <n v="0"/>
    <n v="1439364"/>
  </r>
  <r>
    <x v="324"/>
    <x v="0"/>
    <x v="0"/>
    <x v="1"/>
    <n v="0"/>
    <m/>
    <n v="0"/>
    <n v="3418"/>
    <m/>
    <n v="3418"/>
    <n v="0"/>
    <n v="0"/>
    <n v="0"/>
    <n v="0"/>
    <n v="0"/>
    <n v="0"/>
  </r>
  <r>
    <x v="325"/>
    <x v="8"/>
    <x v="8"/>
    <x v="28"/>
    <n v="248701"/>
    <m/>
    <n v="248701"/>
    <n v="0"/>
    <m/>
    <n v="0"/>
    <n v="241323"/>
    <n v="0"/>
    <n v="241323"/>
    <n v="0"/>
    <n v="0"/>
    <n v="0"/>
  </r>
  <r>
    <x v="326"/>
    <x v="8"/>
    <x v="7"/>
    <x v="63"/>
    <n v="3368785"/>
    <m/>
    <n v="3368785"/>
    <n v="0"/>
    <m/>
    <n v="0"/>
    <n v="4044390"/>
    <n v="0"/>
    <n v="4044390"/>
    <n v="0"/>
    <n v="0"/>
    <n v="0"/>
  </r>
  <r>
    <x v="327"/>
    <x v="5"/>
    <x v="5"/>
    <x v="6"/>
    <n v="0"/>
    <m/>
    <n v="0"/>
    <n v="40975"/>
    <m/>
    <n v="40975"/>
    <n v="0"/>
    <n v="0"/>
    <n v="0"/>
    <n v="21303"/>
    <n v="0"/>
    <n v="21303"/>
  </r>
  <r>
    <x v="328"/>
    <x v="5"/>
    <x v="5"/>
    <x v="6"/>
    <n v="0"/>
    <m/>
    <n v="0"/>
    <n v="84100"/>
    <m/>
    <n v="84100"/>
    <n v="0"/>
    <n v="0"/>
    <n v="0"/>
    <n v="124753"/>
    <n v="0"/>
    <n v="124753"/>
  </r>
  <r>
    <x v="329"/>
    <x v="5"/>
    <x v="5"/>
    <x v="6"/>
    <n v="0"/>
    <m/>
    <n v="0"/>
    <n v="40975"/>
    <m/>
    <n v="40975"/>
    <n v="0"/>
    <n v="0"/>
    <n v="0"/>
    <n v="21303"/>
    <n v="0"/>
    <n v="21303"/>
  </r>
  <r>
    <x v="330"/>
    <x v="5"/>
    <x v="5"/>
    <x v="6"/>
    <n v="807"/>
    <m/>
    <n v="807"/>
    <n v="0"/>
    <m/>
    <n v="0"/>
    <n v="0"/>
    <n v="0"/>
    <n v="0"/>
    <n v="0"/>
    <n v="0"/>
    <n v="0"/>
  </r>
  <r>
    <x v="331"/>
    <x v="5"/>
    <x v="5"/>
    <x v="6"/>
    <n v="116981"/>
    <m/>
    <n v="116981"/>
    <n v="0"/>
    <m/>
    <n v="0"/>
    <n v="0"/>
    <n v="0"/>
    <n v="0"/>
    <n v="0"/>
    <n v="0"/>
    <n v="0"/>
  </r>
  <r>
    <x v="332"/>
    <x v="5"/>
    <x v="5"/>
    <x v="6"/>
    <n v="116981"/>
    <m/>
    <n v="116981"/>
    <n v="0"/>
    <m/>
    <n v="0"/>
    <n v="0"/>
    <n v="0"/>
    <n v="0"/>
    <n v="0"/>
    <n v="0"/>
    <n v="0"/>
  </r>
  <r>
    <x v="333"/>
    <x v="19"/>
    <x v="21"/>
    <x v="39"/>
    <n v="3072000"/>
    <m/>
    <n v="3072000"/>
    <n v="0"/>
    <m/>
    <n v="0"/>
    <n v="4723871"/>
    <n v="0"/>
    <n v="4723871"/>
    <n v="0"/>
    <n v="0"/>
    <n v="0"/>
  </r>
  <r>
    <x v="334"/>
    <x v="8"/>
    <x v="8"/>
    <x v="11"/>
    <n v="296207.59999999998"/>
    <m/>
    <n v="296207.59999999998"/>
    <n v="0"/>
    <m/>
    <n v="0"/>
    <n v="230514"/>
    <n v="0"/>
    <n v="230514"/>
    <n v="0"/>
    <n v="0"/>
    <n v="0"/>
  </r>
  <r>
    <x v="335"/>
    <x v="8"/>
    <x v="7"/>
    <x v="64"/>
    <n v="93430.13"/>
    <m/>
    <n v="93430.13"/>
    <n v="0"/>
    <m/>
    <n v="0"/>
    <n v="49000"/>
    <n v="0"/>
    <n v="49000"/>
    <n v="0"/>
    <n v="0"/>
    <n v="0"/>
  </r>
  <r>
    <x v="336"/>
    <x v="8"/>
    <x v="8"/>
    <x v="65"/>
    <n v="268584"/>
    <m/>
    <n v="268584"/>
    <n v="0"/>
    <m/>
    <n v="0"/>
    <n v="501594.49"/>
    <n v="0"/>
    <n v="501594.49"/>
    <n v="0"/>
    <n v="0"/>
    <n v="0"/>
  </r>
  <r>
    <x v="337"/>
    <x v="14"/>
    <x v="15"/>
    <x v="27"/>
    <n v="0"/>
    <m/>
    <n v="0"/>
    <n v="50905004"/>
    <m/>
    <n v="50905004"/>
    <n v="0"/>
    <n v="0"/>
    <n v="0"/>
    <n v="50905004"/>
    <n v="0"/>
    <n v="50905004"/>
  </r>
  <r>
    <x v="338"/>
    <x v="8"/>
    <x v="8"/>
    <x v="28"/>
    <n v="7900"/>
    <m/>
    <n v="7900"/>
    <n v="0"/>
    <m/>
    <n v="0"/>
    <n v="10950"/>
    <n v="0"/>
    <n v="10950"/>
    <n v="0"/>
    <n v="0"/>
    <n v="0"/>
  </r>
  <r>
    <x v="339"/>
    <x v="0"/>
    <x v="0"/>
    <x v="1"/>
    <n v="0"/>
    <m/>
    <n v="0"/>
    <n v="3597964"/>
    <m/>
    <n v="3597964"/>
    <n v="0"/>
    <n v="0"/>
    <n v="0"/>
    <n v="2717096"/>
    <n v="0"/>
    <n v="2717096"/>
  </r>
  <r>
    <x v="340"/>
    <x v="8"/>
    <x v="8"/>
    <x v="11"/>
    <n v="0"/>
    <m/>
    <n v="0"/>
    <n v="676.59"/>
    <m/>
    <n v="676.59"/>
    <n v="0"/>
    <n v="0"/>
    <n v="0"/>
    <n v="902.81"/>
    <n v="0"/>
    <n v="902.81"/>
  </r>
  <r>
    <x v="341"/>
    <x v="15"/>
    <x v="16"/>
    <x v="66"/>
    <n v="9459.64"/>
    <m/>
    <n v="9459.64"/>
    <n v="0"/>
    <m/>
    <n v="0"/>
    <n v="10757.64"/>
    <n v="0"/>
    <n v="10757.64"/>
    <n v="0"/>
    <n v="0"/>
    <n v="0"/>
  </r>
  <r>
    <x v="342"/>
    <x v="10"/>
    <x v="10"/>
    <x v="13"/>
    <n v="0"/>
    <m/>
    <n v="0"/>
    <n v="0"/>
    <m/>
    <n v="0"/>
    <n v="2000"/>
    <n v="0"/>
    <n v="2000"/>
    <n v="0"/>
    <n v="0"/>
    <n v="0"/>
  </r>
  <r>
    <x v="343"/>
    <x v="2"/>
    <x v="2"/>
    <x v="3"/>
    <n v="515492"/>
    <m/>
    <n v="515492"/>
    <n v="0"/>
    <m/>
    <n v="0"/>
    <n v="3429284"/>
    <n v="0"/>
    <n v="3429284"/>
    <n v="0"/>
    <n v="0"/>
    <n v="0"/>
  </r>
  <r>
    <x v="344"/>
    <x v="0"/>
    <x v="0"/>
    <x v="1"/>
    <n v="0"/>
    <m/>
    <n v="0"/>
    <n v="1561707"/>
    <m/>
    <n v="1561707"/>
    <n v="0"/>
    <n v="0"/>
    <n v="0"/>
    <n v="122753"/>
    <n v="0"/>
    <n v="122753"/>
  </r>
  <r>
    <x v="345"/>
    <x v="22"/>
    <x v="26"/>
    <x v="67"/>
    <n v="0"/>
    <m/>
    <n v="0"/>
    <n v="1087441"/>
    <m/>
    <n v="1087441"/>
    <n v="0"/>
    <n v="0"/>
    <n v="0"/>
    <n v="1152229"/>
    <n v="0"/>
    <n v="1152229"/>
  </r>
  <r>
    <x v="346"/>
    <x v="19"/>
    <x v="21"/>
    <x v="39"/>
    <n v="237000"/>
    <m/>
    <n v="237000"/>
    <n v="0"/>
    <m/>
    <n v="0"/>
    <n v="222000"/>
    <n v="0"/>
    <n v="222000"/>
    <n v="0"/>
    <n v="0"/>
    <n v="0"/>
  </r>
  <r>
    <x v="347"/>
    <x v="19"/>
    <x v="21"/>
    <x v="39"/>
    <n v="2732000"/>
    <m/>
    <n v="2732000"/>
    <n v="0"/>
    <m/>
    <n v="0"/>
    <n v="2764949"/>
    <n v="0"/>
    <n v="2764949"/>
    <n v="0"/>
    <n v="0"/>
    <n v="0"/>
  </r>
  <r>
    <x v="348"/>
    <x v="19"/>
    <x v="21"/>
    <x v="39"/>
    <n v="2857400"/>
    <m/>
    <n v="2857400"/>
    <n v="0"/>
    <m/>
    <n v="0"/>
    <n v="2678400"/>
    <n v="0"/>
    <n v="2678400"/>
    <n v="0"/>
    <n v="0"/>
    <n v="0"/>
  </r>
  <r>
    <x v="349"/>
    <x v="19"/>
    <x v="21"/>
    <x v="39"/>
    <n v="7499801"/>
    <m/>
    <n v="7499801"/>
    <n v="0"/>
    <m/>
    <n v="0"/>
    <n v="10002813"/>
    <n v="0"/>
    <n v="10002813"/>
    <n v="0"/>
    <n v="0"/>
    <n v="0"/>
  </r>
  <r>
    <x v="350"/>
    <x v="4"/>
    <x v="4"/>
    <x v="5"/>
    <n v="0"/>
    <m/>
    <n v="0"/>
    <n v="603566"/>
    <m/>
    <n v="603566"/>
    <n v="0"/>
    <n v="0"/>
    <n v="0"/>
    <n v="1177784"/>
    <n v="0"/>
    <n v="1177784"/>
  </r>
  <r>
    <x v="351"/>
    <x v="4"/>
    <x v="4"/>
    <x v="5"/>
    <n v="0"/>
    <m/>
    <n v="0"/>
    <n v="930626444.45000005"/>
    <m/>
    <n v="930626444.45000005"/>
    <n v="0"/>
    <n v="0"/>
    <n v="0"/>
    <n v="996978842.14999998"/>
    <n v="0"/>
    <n v="996978842.14999998"/>
  </r>
  <r>
    <x v="352"/>
    <x v="3"/>
    <x v="3"/>
    <x v="10"/>
    <n v="0"/>
    <m/>
    <n v="0"/>
    <n v="1308589"/>
    <m/>
    <n v="1308589"/>
    <n v="0"/>
    <n v="0"/>
    <n v="0"/>
    <n v="1218462"/>
    <n v="0"/>
    <n v="1218462"/>
  </r>
  <r>
    <x v="353"/>
    <x v="3"/>
    <x v="3"/>
    <x v="10"/>
    <n v="0"/>
    <m/>
    <n v="0"/>
    <n v="2035521"/>
    <m/>
    <n v="2035521"/>
    <n v="0"/>
    <n v="0"/>
    <n v="0"/>
    <n v="1895328"/>
    <n v="0"/>
    <n v="1895328"/>
  </r>
  <r>
    <x v="354"/>
    <x v="7"/>
    <x v="15"/>
    <x v="68"/>
    <n v="0"/>
    <m/>
    <n v="0"/>
    <n v="8664946"/>
    <m/>
    <n v="8664946"/>
    <n v="0"/>
    <n v="0"/>
    <n v="0"/>
    <n v="8664946"/>
    <n v="0"/>
    <n v="8664946"/>
  </r>
  <r>
    <x v="355"/>
    <x v="8"/>
    <x v="7"/>
    <x v="69"/>
    <n v="905691"/>
    <m/>
    <n v="905691"/>
    <n v="0"/>
    <m/>
    <n v="0"/>
    <n v="783594"/>
    <n v="0"/>
    <n v="783594"/>
    <n v="0"/>
    <n v="0"/>
    <n v="0"/>
  </r>
  <r>
    <x v="356"/>
    <x v="4"/>
    <x v="4"/>
    <x v="5"/>
    <n v="0"/>
    <m/>
    <n v="0"/>
    <n v="20016750.5"/>
    <m/>
    <n v="20016750.5"/>
    <n v="0"/>
    <n v="0"/>
    <n v="0"/>
    <n v="22958399.75"/>
    <n v="0"/>
    <n v="22958399.75"/>
  </r>
  <r>
    <x v="357"/>
    <x v="2"/>
    <x v="2"/>
    <x v="3"/>
    <n v="0"/>
    <m/>
    <n v="0"/>
    <n v="0"/>
    <m/>
    <n v="0"/>
    <n v="1020644"/>
    <n v="0"/>
    <n v="1020644"/>
    <n v="0"/>
    <n v="0"/>
    <n v="0"/>
  </r>
  <r>
    <x v="358"/>
    <x v="2"/>
    <x v="2"/>
    <x v="3"/>
    <n v="0"/>
    <m/>
    <n v="0"/>
    <n v="0"/>
    <m/>
    <n v="0"/>
    <n v="5205371"/>
    <n v="0"/>
    <n v="5205371"/>
    <n v="0"/>
    <n v="0"/>
    <n v="0"/>
  </r>
  <r>
    <x v="359"/>
    <x v="2"/>
    <x v="2"/>
    <x v="3"/>
    <n v="886344"/>
    <m/>
    <n v="886344"/>
    <n v="0"/>
    <m/>
    <n v="0"/>
    <n v="557086"/>
    <n v="0"/>
    <n v="557086"/>
    <n v="0"/>
    <n v="0"/>
    <n v="0"/>
  </r>
  <r>
    <x v="360"/>
    <x v="0"/>
    <x v="0"/>
    <x v="1"/>
    <n v="0"/>
    <m/>
    <n v="0"/>
    <n v="1668161.7"/>
    <m/>
    <n v="1668161.7"/>
    <n v="0"/>
    <n v="0"/>
    <n v="0"/>
    <n v="5633372.7000000002"/>
    <n v="0"/>
    <n v="5633372.7000000002"/>
  </r>
  <r>
    <x v="361"/>
    <x v="0"/>
    <x v="0"/>
    <x v="1"/>
    <n v="0"/>
    <m/>
    <n v="0"/>
    <n v="182880"/>
    <m/>
    <n v="182880"/>
    <n v="0"/>
    <n v="0"/>
    <n v="0"/>
    <n v="198137"/>
    <n v="0"/>
    <n v="198137"/>
  </r>
  <r>
    <x v="362"/>
    <x v="8"/>
    <x v="8"/>
    <x v="11"/>
    <n v="0"/>
    <m/>
    <n v="0"/>
    <n v="0"/>
    <m/>
    <n v="0"/>
    <n v="10980"/>
    <n v="0"/>
    <n v="10980"/>
    <n v="0"/>
    <n v="0"/>
    <n v="0"/>
  </r>
  <r>
    <x v="363"/>
    <x v="4"/>
    <x v="4"/>
    <x v="5"/>
    <n v="0"/>
    <m/>
    <n v="0"/>
    <n v="0"/>
    <m/>
    <n v="0"/>
    <n v="3229"/>
    <n v="0"/>
    <n v="3229"/>
    <n v="0"/>
    <n v="0"/>
    <n v="0"/>
  </r>
  <r>
    <x v="364"/>
    <x v="3"/>
    <x v="3"/>
    <x v="10"/>
    <n v="0"/>
    <m/>
    <n v="0"/>
    <n v="2253400"/>
    <m/>
    <n v="2253400"/>
    <n v="0"/>
    <n v="0"/>
    <n v="0"/>
    <n v="3072538"/>
    <n v="0"/>
    <n v="3072538"/>
  </r>
  <r>
    <x v="365"/>
    <x v="5"/>
    <x v="5"/>
    <x v="33"/>
    <n v="0"/>
    <m/>
    <n v="0"/>
    <n v="11575"/>
    <m/>
    <n v="11575"/>
    <n v="0"/>
    <n v="0"/>
    <n v="0"/>
    <n v="11175"/>
    <n v="0"/>
    <n v="11175"/>
  </r>
  <r>
    <x v="366"/>
    <x v="23"/>
    <x v="27"/>
    <x v="70"/>
    <n v="0"/>
    <m/>
    <n v="0"/>
    <n v="78274677.280000001"/>
    <m/>
    <n v="78274677.280000001"/>
    <n v="0"/>
    <n v="0"/>
    <n v="0"/>
    <n v="56842407.57"/>
    <n v="0"/>
    <n v="56842407.57"/>
  </r>
  <r>
    <x v="367"/>
    <x v="8"/>
    <x v="7"/>
    <x v="15"/>
    <n v="2485856"/>
    <m/>
    <n v="2485856"/>
    <n v="0"/>
    <m/>
    <n v="0"/>
    <n v="3832008"/>
    <n v="0"/>
    <n v="3832008"/>
    <n v="0"/>
    <n v="0"/>
    <n v="0"/>
  </r>
  <r>
    <x v="368"/>
    <x v="8"/>
    <x v="8"/>
    <x v="71"/>
    <n v="269184.78000000003"/>
    <m/>
    <n v="269184.78000000003"/>
    <n v="0"/>
    <m/>
    <n v="0"/>
    <n v="183140.58"/>
    <n v="0"/>
    <n v="183140.58"/>
    <n v="0"/>
    <n v="0"/>
    <n v="0"/>
  </r>
  <r>
    <x v="369"/>
    <x v="8"/>
    <x v="8"/>
    <x v="72"/>
    <n v="275000"/>
    <m/>
    <n v="275000"/>
    <n v="0"/>
    <m/>
    <n v="0"/>
    <n v="275000"/>
    <n v="0"/>
    <n v="275000"/>
    <n v="0"/>
    <n v="0"/>
    <n v="0"/>
  </r>
  <r>
    <x v="370"/>
    <x v="12"/>
    <x v="13"/>
    <x v="24"/>
    <n v="22500"/>
    <m/>
    <n v="22500"/>
    <n v="0"/>
    <m/>
    <n v="0"/>
    <n v="15000"/>
    <n v="0"/>
    <n v="15000"/>
    <n v="0"/>
    <n v="0"/>
    <n v="0"/>
  </r>
  <r>
    <x v="371"/>
    <x v="10"/>
    <x v="10"/>
    <x v="13"/>
    <n v="27000"/>
    <m/>
    <n v="27000"/>
    <n v="0"/>
    <m/>
    <n v="0"/>
    <n v="11000"/>
    <n v="0"/>
    <n v="11000"/>
    <n v="0"/>
    <n v="0"/>
    <n v="0"/>
  </r>
  <r>
    <x v="372"/>
    <x v="0"/>
    <x v="0"/>
    <x v="1"/>
    <n v="0"/>
    <m/>
    <n v="0"/>
    <n v="0"/>
    <m/>
    <n v="0"/>
    <n v="0"/>
    <n v="0"/>
    <n v="0"/>
    <n v="261379"/>
    <n v="0"/>
    <n v="261379"/>
  </r>
  <r>
    <x v="373"/>
    <x v="8"/>
    <x v="8"/>
    <x v="11"/>
    <n v="0"/>
    <m/>
    <n v="0"/>
    <n v="5.61"/>
    <m/>
    <n v="5.61"/>
    <n v="0"/>
    <n v="0"/>
    <n v="0"/>
    <n v="28255.9"/>
    <n v="0"/>
    <n v="28255.9"/>
  </r>
  <r>
    <x v="374"/>
    <x v="10"/>
    <x v="10"/>
    <x v="13"/>
    <n v="0"/>
    <m/>
    <n v="0"/>
    <n v="0"/>
    <m/>
    <n v="0"/>
    <n v="14000"/>
    <n v="0"/>
    <n v="14000"/>
    <n v="0"/>
    <n v="0"/>
    <n v="0"/>
  </r>
  <r>
    <x v="375"/>
    <x v="10"/>
    <x v="10"/>
    <x v="13"/>
    <n v="67000"/>
    <m/>
    <n v="67000"/>
    <n v="0"/>
    <m/>
    <n v="0"/>
    <n v="0"/>
    <n v="0"/>
    <n v="0"/>
    <n v="0"/>
    <n v="0"/>
    <n v="0"/>
  </r>
  <r>
    <x v="376"/>
    <x v="0"/>
    <x v="0"/>
    <x v="1"/>
    <n v="0"/>
    <m/>
    <n v="0"/>
    <n v="830720"/>
    <m/>
    <n v="830720"/>
    <n v="0"/>
    <n v="0"/>
    <n v="0"/>
    <n v="361080"/>
    <n v="0"/>
    <n v="361080"/>
  </r>
  <r>
    <x v="377"/>
    <x v="5"/>
    <x v="5"/>
    <x v="33"/>
    <n v="0"/>
    <m/>
    <n v="0"/>
    <n v="141960"/>
    <m/>
    <n v="141960"/>
    <n v="0"/>
    <n v="0"/>
    <n v="0"/>
    <n v="86477"/>
    <n v="0"/>
    <n v="86477"/>
  </r>
  <r>
    <x v="378"/>
    <x v="5"/>
    <x v="5"/>
    <x v="33"/>
    <n v="0"/>
    <m/>
    <n v="0"/>
    <n v="9325.82"/>
    <m/>
    <n v="9325.82"/>
    <n v="0"/>
    <n v="0"/>
    <n v="0"/>
    <n v="12998.22"/>
    <n v="0"/>
    <n v="12998.22"/>
  </r>
  <r>
    <x v="379"/>
    <x v="5"/>
    <x v="5"/>
    <x v="33"/>
    <n v="0"/>
    <m/>
    <n v="0"/>
    <n v="5250"/>
    <m/>
    <n v="5250"/>
    <n v="0"/>
    <n v="0"/>
    <n v="0"/>
    <n v="5000"/>
    <n v="0"/>
    <n v="5000"/>
  </r>
  <r>
    <x v="380"/>
    <x v="5"/>
    <x v="5"/>
    <x v="33"/>
    <n v="0"/>
    <m/>
    <n v="0"/>
    <n v="2555"/>
    <m/>
    <n v="2555"/>
    <n v="0"/>
    <n v="0"/>
    <n v="0"/>
    <n v="11758"/>
    <n v="0"/>
    <n v="11758"/>
  </r>
  <r>
    <x v="381"/>
    <x v="5"/>
    <x v="5"/>
    <x v="33"/>
    <n v="0"/>
    <m/>
    <n v="0"/>
    <n v="61052.04"/>
    <m/>
    <n v="61052.04"/>
    <n v="0"/>
    <n v="0"/>
    <n v="0"/>
    <n v="44158.04"/>
    <n v="0"/>
    <n v="44158.04"/>
  </r>
  <r>
    <x v="382"/>
    <x v="5"/>
    <x v="5"/>
    <x v="33"/>
    <n v="0"/>
    <m/>
    <n v="0"/>
    <n v="60934"/>
    <m/>
    <n v="60934"/>
    <n v="0"/>
    <n v="0"/>
    <n v="0"/>
    <n v="47015"/>
    <n v="0"/>
    <n v="47015"/>
  </r>
  <r>
    <x v="383"/>
    <x v="5"/>
    <x v="5"/>
    <x v="33"/>
    <n v="0"/>
    <m/>
    <n v="0"/>
    <n v="5000"/>
    <m/>
    <n v="5000"/>
    <n v="0"/>
    <n v="0"/>
    <n v="0"/>
    <n v="7000"/>
    <n v="0"/>
    <n v="7000"/>
  </r>
  <r>
    <x v="384"/>
    <x v="5"/>
    <x v="5"/>
    <x v="33"/>
    <n v="0"/>
    <m/>
    <n v="0"/>
    <n v="27071"/>
    <m/>
    <n v="27071"/>
    <n v="0"/>
    <n v="0"/>
    <n v="0"/>
    <n v="4651"/>
    <n v="0"/>
    <n v="4651"/>
  </r>
  <r>
    <x v="385"/>
    <x v="5"/>
    <x v="5"/>
    <x v="33"/>
    <n v="0"/>
    <m/>
    <n v="0"/>
    <n v="61380"/>
    <m/>
    <n v="61380"/>
    <n v="0"/>
    <n v="0"/>
    <n v="0"/>
    <n v="59000"/>
    <n v="0"/>
    <n v="59000"/>
  </r>
  <r>
    <x v="386"/>
    <x v="8"/>
    <x v="8"/>
    <x v="73"/>
    <n v="67429"/>
    <m/>
    <n v="67429"/>
    <n v="0"/>
    <m/>
    <n v="0"/>
    <n v="70996"/>
    <n v="0"/>
    <n v="70996"/>
    <n v="0"/>
    <n v="0"/>
    <n v="0"/>
  </r>
  <r>
    <x v="387"/>
    <x v="0"/>
    <x v="0"/>
    <x v="0"/>
    <n v="0"/>
    <m/>
    <n v="0"/>
    <n v="0"/>
    <m/>
    <n v="0"/>
    <n v="0"/>
    <n v="0"/>
    <n v="0"/>
    <n v="3708"/>
    <n v="0"/>
    <n v="3708"/>
  </r>
  <r>
    <x v="388"/>
    <x v="8"/>
    <x v="7"/>
    <x v="9"/>
    <n v="123242"/>
    <m/>
    <n v="123242"/>
    <n v="0"/>
    <m/>
    <n v="0"/>
    <n v="103100"/>
    <n v="0"/>
    <n v="103100"/>
    <n v="0"/>
    <n v="0"/>
    <n v="0"/>
  </r>
  <r>
    <x v="389"/>
    <x v="4"/>
    <x v="4"/>
    <x v="5"/>
    <n v="124881.5"/>
    <m/>
    <n v="124881.5"/>
    <n v="0"/>
    <m/>
    <n v="0"/>
    <n v="199577.3"/>
    <n v="0"/>
    <n v="199577.3"/>
    <n v="0"/>
    <n v="0"/>
    <n v="0"/>
  </r>
  <r>
    <x v="390"/>
    <x v="8"/>
    <x v="8"/>
    <x v="34"/>
    <n v="447976"/>
    <m/>
    <n v="447976"/>
    <n v="0"/>
    <m/>
    <n v="0"/>
    <n v="282444"/>
    <n v="0"/>
    <n v="282444"/>
    <n v="0"/>
    <n v="0"/>
    <n v="0"/>
  </r>
  <r>
    <x v="391"/>
    <x v="0"/>
    <x v="0"/>
    <x v="1"/>
    <n v="0"/>
    <m/>
    <n v="0"/>
    <n v="80955"/>
    <m/>
    <n v="80955"/>
    <n v="0"/>
    <n v="0"/>
    <n v="0"/>
    <n v="411065"/>
    <n v="0"/>
    <n v="411065"/>
  </r>
  <r>
    <x v="392"/>
    <x v="2"/>
    <x v="2"/>
    <x v="3"/>
    <n v="0"/>
    <m/>
    <n v="0"/>
    <n v="0"/>
    <m/>
    <n v="0"/>
    <n v="365534"/>
    <n v="0"/>
    <n v="365534"/>
    <n v="0"/>
    <n v="0"/>
    <n v="0"/>
  </r>
  <r>
    <x v="393"/>
    <x v="16"/>
    <x v="17"/>
    <x v="31"/>
    <n v="487412"/>
    <m/>
    <n v="487412"/>
    <n v="0"/>
    <m/>
    <n v="0"/>
    <n v="938042.5"/>
    <n v="0"/>
    <n v="938042.5"/>
    <n v="0"/>
    <n v="0"/>
    <n v="0"/>
  </r>
  <r>
    <x v="394"/>
    <x v="0"/>
    <x v="0"/>
    <x v="0"/>
    <n v="0"/>
    <m/>
    <n v="0"/>
    <n v="0"/>
    <m/>
    <n v="0"/>
    <n v="56700"/>
    <n v="0"/>
    <n v="56700"/>
    <n v="0"/>
    <n v="0"/>
    <n v="0"/>
  </r>
  <r>
    <x v="395"/>
    <x v="2"/>
    <x v="2"/>
    <x v="3"/>
    <n v="0"/>
    <m/>
    <n v="0"/>
    <n v="0"/>
    <m/>
    <n v="0"/>
    <n v="876095"/>
    <n v="0"/>
    <n v="876095"/>
    <n v="0"/>
    <n v="0"/>
    <n v="0"/>
  </r>
  <r>
    <x v="396"/>
    <x v="0"/>
    <x v="0"/>
    <x v="0"/>
    <n v="0"/>
    <m/>
    <n v="0"/>
    <n v="21491"/>
    <m/>
    <n v="21491"/>
    <n v="0"/>
    <n v="0"/>
    <n v="0"/>
    <n v="28252"/>
    <n v="0"/>
    <n v="28252"/>
  </r>
  <r>
    <x v="397"/>
    <x v="8"/>
    <x v="12"/>
    <x v="74"/>
    <n v="67144"/>
    <m/>
    <n v="67144"/>
    <n v="0"/>
    <m/>
    <n v="0"/>
    <n v="154050"/>
    <n v="0"/>
    <n v="154050"/>
    <n v="0"/>
    <n v="0"/>
    <n v="0"/>
  </r>
  <r>
    <x v="398"/>
    <x v="5"/>
    <x v="5"/>
    <x v="6"/>
    <n v="0"/>
    <m/>
    <n v="0"/>
    <n v="0"/>
    <m/>
    <n v="0"/>
    <n v="0"/>
    <n v="0"/>
    <n v="0"/>
    <n v="2903011.18"/>
    <n v="0"/>
    <n v="2903011.18"/>
  </r>
  <r>
    <x v="399"/>
    <x v="11"/>
    <x v="11"/>
    <x v="17"/>
    <n v="0"/>
    <m/>
    <n v="0"/>
    <n v="0"/>
    <m/>
    <n v="0"/>
    <n v="1031300"/>
    <n v="0"/>
    <n v="1031300"/>
    <n v="0"/>
    <n v="0"/>
    <n v="0"/>
  </r>
  <r>
    <x v="400"/>
    <x v="7"/>
    <x v="5"/>
    <x v="8"/>
    <n v="0"/>
    <m/>
    <n v="0"/>
    <n v="3104070"/>
    <m/>
    <n v="3104070"/>
    <n v="1031300"/>
    <n v="0"/>
    <n v="1031300"/>
    <n v="0"/>
    <n v="0"/>
    <n v="0"/>
  </r>
  <r>
    <x v="401"/>
    <x v="0"/>
    <x v="0"/>
    <x v="1"/>
    <n v="0"/>
    <m/>
    <n v="0"/>
    <n v="0"/>
    <m/>
    <n v="0"/>
    <n v="0"/>
    <n v="0"/>
    <n v="0"/>
    <n v="244960"/>
    <n v="0"/>
    <n v="244960"/>
  </r>
  <r>
    <x v="402"/>
    <x v="8"/>
    <x v="12"/>
    <x v="75"/>
    <n v="1585770"/>
    <m/>
    <n v="1585770"/>
    <n v="0"/>
    <m/>
    <n v="0"/>
    <n v="1397360"/>
    <n v="0"/>
    <n v="1397360"/>
    <n v="0"/>
    <n v="0"/>
    <n v="0"/>
  </r>
  <r>
    <x v="403"/>
    <x v="0"/>
    <x v="0"/>
    <x v="0"/>
    <n v="0"/>
    <m/>
    <n v="0"/>
    <n v="0"/>
    <m/>
    <n v="0"/>
    <n v="0"/>
    <n v="0"/>
    <n v="0"/>
    <n v="29986"/>
    <n v="0"/>
    <n v="29986"/>
  </r>
  <r>
    <x v="404"/>
    <x v="8"/>
    <x v="8"/>
    <x v="23"/>
    <n v="0"/>
    <m/>
    <n v="0"/>
    <n v="0"/>
    <m/>
    <n v="0"/>
    <n v="351972"/>
    <n v="0"/>
    <n v="351972"/>
    <n v="0"/>
    <n v="0"/>
    <n v="0"/>
  </r>
  <r>
    <x v="405"/>
    <x v="16"/>
    <x v="17"/>
    <x v="31"/>
    <n v="5672492"/>
    <m/>
    <n v="5672492"/>
    <n v="0"/>
    <m/>
    <n v="0"/>
    <n v="826334"/>
    <n v="0"/>
    <n v="826334"/>
    <n v="0"/>
    <n v="0"/>
    <n v="0"/>
  </r>
  <r>
    <x v="406"/>
    <x v="16"/>
    <x v="17"/>
    <x v="31"/>
    <n v="419631"/>
    <n v="0"/>
    <n v="419631"/>
    <n v="0"/>
    <m/>
    <n v="0"/>
    <n v="0"/>
    <n v="0"/>
    <n v="0"/>
    <n v="0"/>
    <n v="0"/>
    <n v="0"/>
  </r>
  <r>
    <x v="407"/>
    <x v="22"/>
    <x v="5"/>
    <x v="76"/>
    <m/>
    <m/>
    <m/>
    <m/>
    <m/>
    <n v="0"/>
    <m/>
    <m/>
    <m/>
    <m/>
    <m/>
    <m/>
  </r>
  <r>
    <x v="408"/>
    <x v="4"/>
    <x v="4"/>
    <x v="5"/>
    <n v="47111095.43"/>
    <m/>
    <n v="47111095.43"/>
    <n v="0"/>
    <m/>
    <n v="0"/>
    <n v="39401489"/>
    <n v="0"/>
    <n v="39401489"/>
    <n v="0"/>
    <n v="0"/>
    <n v="0"/>
  </r>
  <r>
    <x v="409"/>
    <x v="0"/>
    <x v="0"/>
    <x v="0"/>
    <n v="0"/>
    <m/>
    <n v="0"/>
    <n v="0"/>
    <m/>
    <n v="0"/>
    <n v="0"/>
    <n v="0"/>
    <n v="0"/>
    <n v="78588"/>
    <n v="0"/>
    <n v="78588"/>
  </r>
  <r>
    <x v="410"/>
    <x v="8"/>
    <x v="8"/>
    <x v="28"/>
    <n v="0"/>
    <m/>
    <n v="0"/>
    <n v="0"/>
    <m/>
    <n v="0"/>
    <n v="896"/>
    <n v="0"/>
    <n v="896"/>
    <n v="0"/>
    <n v="0"/>
    <n v="0"/>
  </r>
  <r>
    <x v="411"/>
    <x v="0"/>
    <x v="0"/>
    <x v="0"/>
    <n v="0"/>
    <m/>
    <n v="0"/>
    <n v="0"/>
    <m/>
    <n v="0"/>
    <n v="0"/>
    <n v="0"/>
    <n v="0"/>
    <n v="227278"/>
    <n v="0"/>
    <n v="227278"/>
  </r>
  <r>
    <x v="412"/>
    <x v="6"/>
    <x v="6"/>
    <x v="7"/>
    <n v="261462"/>
    <m/>
    <n v="261462"/>
    <n v="0"/>
    <m/>
    <n v="0"/>
    <n v="250000"/>
    <n v="0"/>
    <n v="250000"/>
    <n v="0"/>
    <n v="0"/>
    <n v="0"/>
  </r>
  <r>
    <x v="413"/>
    <x v="8"/>
    <x v="7"/>
    <x v="9"/>
    <n v="0"/>
    <m/>
    <n v="0"/>
    <n v="0"/>
    <m/>
    <n v="0"/>
    <n v="60"/>
    <n v="0"/>
    <n v="60"/>
    <n v="0"/>
    <n v="0"/>
    <n v="0"/>
  </r>
  <r>
    <x v="414"/>
    <x v="3"/>
    <x v="3"/>
    <x v="10"/>
    <n v="0"/>
    <m/>
    <n v="0"/>
    <n v="1896290"/>
    <m/>
    <n v="1896290"/>
    <n v="0"/>
    <n v="0"/>
    <n v="0"/>
    <n v="2165420"/>
    <n v="0"/>
    <n v="2165420"/>
  </r>
  <r>
    <x v="415"/>
    <x v="11"/>
    <x v="11"/>
    <x v="17"/>
    <n v="0"/>
    <m/>
    <n v="0"/>
    <n v="0"/>
    <m/>
    <n v="0"/>
    <n v="927610"/>
    <n v="0"/>
    <n v="927610"/>
    <n v="0"/>
    <n v="0"/>
    <n v="0"/>
  </r>
  <r>
    <x v="416"/>
    <x v="7"/>
    <x v="5"/>
    <x v="8"/>
    <n v="0"/>
    <m/>
    <n v="0"/>
    <n v="444140"/>
    <m/>
    <n v="444140"/>
    <m/>
    <m/>
    <m/>
    <m/>
    <m/>
    <m/>
  </r>
  <r>
    <x v="417"/>
    <x v="11"/>
    <x v="11"/>
    <x v="17"/>
    <n v="0"/>
    <m/>
    <n v="0"/>
    <n v="0"/>
    <m/>
    <n v="0"/>
    <n v="1200000"/>
    <n v="0"/>
    <n v="1200000"/>
    <n v="0"/>
    <n v="0"/>
    <n v="0"/>
  </r>
  <r>
    <x v="418"/>
    <x v="5"/>
    <x v="5"/>
    <x v="6"/>
    <n v="0"/>
    <m/>
    <n v="0"/>
    <n v="0"/>
    <m/>
    <n v="0"/>
    <n v="0"/>
    <n v="0"/>
    <n v="0"/>
    <n v="308166.59000000003"/>
    <n v="0"/>
    <n v="308166.59000000003"/>
  </r>
  <r>
    <x v="419"/>
    <x v="5"/>
    <x v="5"/>
    <x v="6"/>
    <n v="0"/>
    <m/>
    <n v="0"/>
    <n v="0"/>
    <m/>
    <n v="0"/>
    <n v="315731.11"/>
    <n v="0"/>
    <n v="315731.11"/>
    <n v="0"/>
    <n v="0"/>
    <n v="0"/>
  </r>
  <r>
    <x v="420"/>
    <x v="11"/>
    <x v="11"/>
    <x v="17"/>
    <n v="0"/>
    <m/>
    <n v="0"/>
    <n v="0"/>
    <m/>
    <n v="0"/>
    <n v="300000"/>
    <n v="0"/>
    <n v="300000"/>
    <n v="0"/>
    <n v="0"/>
    <n v="0"/>
  </r>
  <r>
    <x v="421"/>
    <x v="7"/>
    <x v="5"/>
    <x v="8"/>
    <n v="0"/>
    <m/>
    <n v="0"/>
    <n v="100000"/>
    <m/>
    <n v="100000"/>
    <m/>
    <m/>
    <m/>
    <m/>
    <m/>
    <m/>
  </r>
  <r>
    <x v="422"/>
    <x v="8"/>
    <x v="8"/>
    <x v="11"/>
    <n v="0"/>
    <m/>
    <n v="0"/>
    <n v="0"/>
    <m/>
    <n v="0"/>
    <n v="345100"/>
    <n v="0"/>
    <n v="345100"/>
    <n v="0"/>
    <n v="0"/>
    <n v="0"/>
  </r>
  <r>
    <x v="423"/>
    <x v="11"/>
    <x v="11"/>
    <x v="17"/>
    <n v="0"/>
    <m/>
    <n v="0"/>
    <n v="0"/>
    <m/>
    <n v="0"/>
    <n v="200000"/>
    <n v="0"/>
    <n v="200000"/>
    <n v="0"/>
    <n v="0"/>
    <n v="0"/>
  </r>
  <r>
    <x v="424"/>
    <x v="0"/>
    <x v="0"/>
    <x v="1"/>
    <n v="0"/>
    <m/>
    <n v="0"/>
    <n v="193615"/>
    <m/>
    <n v="193615"/>
    <n v="0"/>
    <n v="0"/>
    <n v="0"/>
    <n v="266778"/>
    <n v="0"/>
    <n v="266778"/>
  </r>
  <r>
    <x v="425"/>
    <x v="1"/>
    <x v="1"/>
    <x v="50"/>
    <n v="0"/>
    <m/>
    <n v="0"/>
    <n v="0"/>
    <m/>
    <n v="0"/>
    <n v="6177"/>
    <n v="0"/>
    <n v="6177"/>
    <n v="0"/>
    <n v="0"/>
    <n v="0"/>
  </r>
  <r>
    <x v="426"/>
    <x v="8"/>
    <x v="8"/>
    <x v="28"/>
    <n v="0"/>
    <m/>
    <n v="0"/>
    <n v="0"/>
    <m/>
    <n v="0"/>
    <n v="600"/>
    <n v="0"/>
    <n v="600"/>
    <n v="0"/>
    <n v="0"/>
    <n v="0"/>
  </r>
  <r>
    <x v="427"/>
    <x v="12"/>
    <x v="13"/>
    <x v="53"/>
    <n v="0"/>
    <m/>
    <n v="0"/>
    <n v="0"/>
    <m/>
    <n v="0"/>
    <n v="193596"/>
    <n v="0"/>
    <n v="193596"/>
    <n v="0"/>
    <n v="0"/>
    <n v="0"/>
  </r>
  <r>
    <x v="428"/>
    <x v="0"/>
    <x v="0"/>
    <x v="1"/>
    <n v="0"/>
    <m/>
    <n v="0"/>
    <n v="11543115"/>
    <m/>
    <n v="11543115"/>
    <n v="0"/>
    <n v="0"/>
    <n v="0"/>
    <n v="9742192"/>
    <n v="0"/>
    <n v="9742192"/>
  </r>
  <r>
    <x v="429"/>
    <x v="10"/>
    <x v="10"/>
    <x v="13"/>
    <n v="27000"/>
    <m/>
    <n v="27000"/>
    <n v="0"/>
    <m/>
    <n v="0"/>
    <n v="53000"/>
    <n v="0"/>
    <n v="53000"/>
    <n v="0"/>
    <n v="0"/>
    <n v="0"/>
  </r>
  <r>
    <x v="430"/>
    <x v="0"/>
    <x v="0"/>
    <x v="1"/>
    <n v="0"/>
    <m/>
    <n v="0"/>
    <n v="313013"/>
    <m/>
    <n v="313013"/>
    <n v="0"/>
    <n v="0"/>
    <n v="0"/>
    <n v="82682"/>
    <n v="0"/>
    <n v="82682"/>
  </r>
  <r>
    <x v="431"/>
    <x v="0"/>
    <x v="0"/>
    <x v="1"/>
    <n v="0"/>
    <m/>
    <n v="0"/>
    <n v="0"/>
    <m/>
    <n v="0"/>
    <n v="0"/>
    <n v="0"/>
    <n v="0"/>
    <n v="270000"/>
    <n v="0"/>
    <n v="270000"/>
  </r>
  <r>
    <x v="432"/>
    <x v="0"/>
    <x v="0"/>
    <x v="0"/>
    <n v="0"/>
    <m/>
    <n v="0"/>
    <n v="0"/>
    <m/>
    <n v="0"/>
    <n v="0"/>
    <n v="0"/>
    <n v="0"/>
    <n v="52156"/>
    <n v="0"/>
    <n v="52156"/>
  </r>
  <r>
    <x v="433"/>
    <x v="10"/>
    <x v="10"/>
    <x v="13"/>
    <n v="0"/>
    <m/>
    <n v="0"/>
    <n v="0"/>
    <m/>
    <n v="0"/>
    <n v="8000"/>
    <n v="0"/>
    <n v="8000"/>
    <n v="0"/>
    <n v="0"/>
    <n v="0"/>
  </r>
  <r>
    <x v="434"/>
    <x v="13"/>
    <x v="14"/>
    <x v="77"/>
    <n v="1374004"/>
    <m/>
    <n v="1374004"/>
    <n v="0"/>
    <m/>
    <n v="0"/>
    <n v="711000"/>
    <n v="0"/>
    <n v="711000"/>
    <n v="0"/>
    <n v="0"/>
    <n v="0"/>
  </r>
  <r>
    <x v="435"/>
    <x v="13"/>
    <x v="14"/>
    <x v="77"/>
    <n v="0"/>
    <m/>
    <n v="0"/>
    <n v="0"/>
    <m/>
    <n v="0"/>
    <m/>
    <m/>
    <m/>
    <m/>
    <m/>
    <m/>
  </r>
  <r>
    <x v="436"/>
    <x v="13"/>
    <x v="14"/>
    <x v="77"/>
    <n v="198800"/>
    <m/>
    <n v="198800"/>
    <n v="0"/>
    <m/>
    <n v="0"/>
    <n v="153050"/>
    <n v="0"/>
    <n v="153050"/>
    <n v="0"/>
    <n v="0"/>
    <n v="0"/>
  </r>
  <r>
    <x v="437"/>
    <x v="13"/>
    <x v="14"/>
    <x v="77"/>
    <n v="9930454"/>
    <m/>
    <n v="9930454"/>
    <n v="0"/>
    <m/>
    <n v="0"/>
    <n v="2070258"/>
    <n v="0"/>
    <n v="2070258"/>
    <n v="0"/>
    <n v="0"/>
    <n v="0"/>
  </r>
  <r>
    <x v="438"/>
    <x v="13"/>
    <x v="14"/>
    <x v="77"/>
    <n v="491595"/>
    <m/>
    <n v="491595"/>
    <n v="0"/>
    <m/>
    <n v="0"/>
    <n v="27003"/>
    <n v="0"/>
    <n v="27003"/>
    <n v="0"/>
    <n v="0"/>
    <n v="0"/>
  </r>
  <r>
    <x v="439"/>
    <x v="8"/>
    <x v="7"/>
    <x v="15"/>
    <n v="52365641"/>
    <m/>
    <n v="52365641"/>
    <n v="0"/>
    <m/>
    <n v="0"/>
    <n v="17458745"/>
    <n v="0"/>
    <n v="17458745"/>
    <n v="0"/>
    <n v="0"/>
    <n v="0"/>
  </r>
  <r>
    <x v="440"/>
    <x v="10"/>
    <x v="10"/>
    <x v="13"/>
    <n v="0"/>
    <m/>
    <n v="0"/>
    <n v="0"/>
    <m/>
    <n v="0"/>
    <n v="4000"/>
    <n v="0"/>
    <n v="4000"/>
    <n v="0"/>
    <n v="0"/>
    <n v="0"/>
  </r>
  <r>
    <x v="441"/>
    <x v="1"/>
    <x v="1"/>
    <x v="78"/>
    <n v="221984"/>
    <m/>
    <n v="221984"/>
    <n v="0"/>
    <m/>
    <n v="0"/>
    <n v="413262"/>
    <n v="0"/>
    <n v="413262"/>
    <n v="0"/>
    <n v="0"/>
    <n v="0"/>
  </r>
  <r>
    <x v="442"/>
    <x v="2"/>
    <x v="2"/>
    <x v="3"/>
    <n v="28916252"/>
    <m/>
    <n v="28916252"/>
    <n v="0"/>
    <m/>
    <n v="0"/>
    <n v="4622711"/>
    <n v="0"/>
    <n v="4622711"/>
    <n v="0"/>
    <n v="0"/>
    <n v="0"/>
  </r>
  <r>
    <x v="443"/>
    <x v="2"/>
    <x v="2"/>
    <x v="3"/>
    <n v="0"/>
    <m/>
    <n v="0"/>
    <n v="7528"/>
    <m/>
    <n v="7528"/>
    <n v="0"/>
    <n v="0"/>
    <n v="0"/>
    <n v="0"/>
    <n v="0"/>
    <n v="0"/>
  </r>
  <r>
    <x v="444"/>
    <x v="10"/>
    <x v="10"/>
    <x v="13"/>
    <n v="0"/>
    <m/>
    <n v="0"/>
    <n v="0"/>
    <m/>
    <n v="0"/>
    <n v="14000"/>
    <n v="0"/>
    <n v="14000"/>
    <n v="0"/>
    <n v="0"/>
    <n v="0"/>
  </r>
  <r>
    <x v="445"/>
    <x v="3"/>
    <x v="3"/>
    <x v="16"/>
    <n v="0"/>
    <m/>
    <n v="0"/>
    <n v="7221052.2300000004"/>
    <m/>
    <n v="7221052.2300000004"/>
    <n v="0"/>
    <n v="0"/>
    <n v="0"/>
    <n v="7186632"/>
    <n v="0"/>
    <n v="7186632"/>
  </r>
  <r>
    <x v="446"/>
    <x v="3"/>
    <x v="3"/>
    <x v="16"/>
    <n v="0"/>
    <m/>
    <n v="0"/>
    <n v="62630931"/>
    <m/>
    <n v="62630931"/>
    <n v="0"/>
    <n v="0"/>
    <n v="0"/>
    <n v="21743710"/>
    <n v="0"/>
    <n v="21743710"/>
  </r>
  <r>
    <x v="447"/>
    <x v="0"/>
    <x v="0"/>
    <x v="1"/>
    <n v="0"/>
    <m/>
    <n v="0"/>
    <n v="632079"/>
    <m/>
    <n v="632079"/>
    <n v="0"/>
    <n v="0"/>
    <n v="0"/>
    <n v="429511"/>
    <n v="0"/>
    <n v="429511"/>
  </r>
  <r>
    <x v="448"/>
    <x v="5"/>
    <x v="5"/>
    <x v="6"/>
    <n v="0"/>
    <m/>
    <n v="0"/>
    <n v="0"/>
    <m/>
    <n v="0"/>
    <n v="0"/>
    <n v="0"/>
    <n v="0"/>
    <n v="2903011.08"/>
    <n v="0"/>
    <n v="2903011.08"/>
  </r>
  <r>
    <x v="449"/>
    <x v="0"/>
    <x v="0"/>
    <x v="1"/>
    <n v="0"/>
    <m/>
    <n v="0"/>
    <n v="0"/>
    <m/>
    <n v="0"/>
    <n v="0"/>
    <n v="0"/>
    <n v="0"/>
    <n v="36998"/>
    <n v="0"/>
    <n v="36998"/>
  </r>
  <r>
    <x v="450"/>
    <x v="2"/>
    <x v="2"/>
    <x v="3"/>
    <n v="0"/>
    <m/>
    <n v="0"/>
    <n v="0"/>
    <m/>
    <n v="0"/>
    <n v="1005946"/>
    <n v="0"/>
    <n v="1005946"/>
    <n v="0"/>
    <n v="0"/>
    <n v="0"/>
  </r>
  <r>
    <x v="451"/>
    <x v="11"/>
    <x v="11"/>
    <x v="17"/>
    <n v="0"/>
    <m/>
    <n v="0"/>
    <n v="0"/>
    <m/>
    <n v="0"/>
    <n v="2100000"/>
    <n v="0"/>
    <n v="2100000"/>
    <n v="0"/>
    <n v="0"/>
    <n v="0"/>
  </r>
  <r>
    <x v="452"/>
    <x v="8"/>
    <x v="8"/>
    <x v="32"/>
    <n v="6640"/>
    <m/>
    <n v="6640"/>
    <n v="0"/>
    <m/>
    <n v="0"/>
    <n v="14890"/>
    <n v="0"/>
    <n v="14890"/>
    <n v="0"/>
    <n v="0"/>
    <n v="0"/>
  </r>
  <r>
    <x v="453"/>
    <x v="10"/>
    <x v="10"/>
    <x v="13"/>
    <n v="0"/>
    <m/>
    <n v="0"/>
    <n v="0"/>
    <m/>
    <n v="0"/>
    <n v="5000"/>
    <n v="0"/>
    <n v="5000"/>
    <n v="0"/>
    <n v="0"/>
    <n v="0"/>
  </r>
  <r>
    <x v="454"/>
    <x v="10"/>
    <x v="10"/>
    <x v="13"/>
    <n v="0"/>
    <m/>
    <n v="0"/>
    <n v="0"/>
    <m/>
    <n v="0"/>
    <n v="1000"/>
    <n v="0"/>
    <n v="1000"/>
    <n v="0"/>
    <n v="0"/>
    <n v="0"/>
  </r>
  <r>
    <x v="455"/>
    <x v="9"/>
    <x v="9"/>
    <x v="12"/>
    <n v="0"/>
    <m/>
    <n v="0"/>
    <n v="0"/>
    <m/>
    <n v="0"/>
    <n v="81429.8"/>
    <n v="0"/>
    <n v="81429.8"/>
    <n v="0"/>
    <n v="0"/>
    <n v="0"/>
  </r>
  <r>
    <x v="456"/>
    <x v="9"/>
    <x v="9"/>
    <x v="12"/>
    <n v="24886"/>
    <m/>
    <n v="24886"/>
    <n v="0"/>
    <m/>
    <n v="0"/>
    <n v="36262"/>
    <n v="0"/>
    <n v="36262"/>
    <n v="0"/>
    <n v="0"/>
    <n v="0"/>
  </r>
  <r>
    <x v="457"/>
    <x v="5"/>
    <x v="5"/>
    <x v="33"/>
    <n v="0"/>
    <m/>
    <n v="0"/>
    <n v="49527"/>
    <m/>
    <n v="49527"/>
    <n v="0"/>
    <n v="0"/>
    <n v="0"/>
    <n v="91593"/>
    <n v="0"/>
    <n v="91593"/>
  </r>
  <r>
    <x v="458"/>
    <x v="9"/>
    <x v="9"/>
    <x v="12"/>
    <n v="0"/>
    <m/>
    <n v="0"/>
    <n v="0"/>
    <m/>
    <n v="0"/>
    <n v="616388"/>
    <n v="0"/>
    <n v="616388"/>
    <n v="0"/>
    <n v="0"/>
    <n v="0"/>
  </r>
  <r>
    <x v="459"/>
    <x v="0"/>
    <x v="0"/>
    <x v="1"/>
    <n v="0"/>
    <m/>
    <n v="0"/>
    <n v="163013"/>
    <m/>
    <n v="163013"/>
    <n v="0"/>
    <n v="0"/>
    <n v="0"/>
    <n v="1659637"/>
    <n v="0"/>
    <n v="1659637"/>
  </r>
  <r>
    <x v="460"/>
    <x v="0"/>
    <x v="0"/>
    <x v="0"/>
    <n v="0"/>
    <m/>
    <n v="0"/>
    <n v="0"/>
    <m/>
    <n v="0"/>
    <n v="633"/>
    <n v="0"/>
    <n v="633"/>
    <n v="0"/>
    <n v="0"/>
    <n v="0"/>
  </r>
  <r>
    <x v="461"/>
    <x v="13"/>
    <x v="14"/>
    <x v="77"/>
    <n v="26642149.920000002"/>
    <m/>
    <n v="26642149.920000002"/>
    <n v="0"/>
    <m/>
    <n v="0"/>
    <n v="4115523"/>
    <n v="0"/>
    <n v="4115523"/>
    <n v="0"/>
    <n v="0"/>
    <n v="0"/>
  </r>
  <r>
    <x v="462"/>
    <x v="13"/>
    <x v="14"/>
    <x v="77"/>
    <n v="300000"/>
    <m/>
    <n v="300000"/>
    <n v="0"/>
    <m/>
    <n v="0"/>
    <n v="0"/>
    <n v="0"/>
    <n v="0"/>
    <n v="0"/>
    <n v="0"/>
    <n v="0"/>
  </r>
  <r>
    <x v="463"/>
    <x v="13"/>
    <x v="14"/>
    <x v="77"/>
    <n v="17362000"/>
    <m/>
    <n v="17362000"/>
    <n v="0"/>
    <m/>
    <n v="0"/>
    <n v="16722713"/>
    <n v="0"/>
    <n v="16722713"/>
    <n v="0"/>
    <n v="0"/>
    <n v="0"/>
  </r>
  <r>
    <x v="464"/>
    <x v="8"/>
    <x v="7"/>
    <x v="57"/>
    <n v="193000"/>
    <m/>
    <n v="193000"/>
    <n v="0"/>
    <m/>
    <n v="0"/>
    <n v="150000"/>
    <n v="0"/>
    <n v="150000"/>
    <n v="0"/>
    <n v="0"/>
    <n v="0"/>
  </r>
  <r>
    <x v="465"/>
    <x v="0"/>
    <x v="0"/>
    <x v="0"/>
    <n v="0"/>
    <m/>
    <n v="0"/>
    <n v="55080"/>
    <m/>
    <n v="55080"/>
    <n v="0"/>
    <n v="0"/>
    <n v="0"/>
    <n v="207360"/>
    <n v="0"/>
    <n v="207360"/>
  </r>
  <r>
    <x v="466"/>
    <x v="0"/>
    <x v="0"/>
    <x v="1"/>
    <n v="0"/>
    <m/>
    <n v="0"/>
    <n v="90199"/>
    <m/>
    <n v="90199"/>
    <n v="0"/>
    <n v="0"/>
    <n v="0"/>
    <n v="0"/>
    <n v="0"/>
    <n v="0"/>
  </r>
  <r>
    <x v="467"/>
    <x v="0"/>
    <x v="0"/>
    <x v="0"/>
    <n v="0"/>
    <m/>
    <n v="0"/>
    <n v="24831"/>
    <m/>
    <n v="24831"/>
    <n v="0"/>
    <n v="0"/>
    <n v="0"/>
    <n v="28004"/>
    <n v="0"/>
    <n v="28004"/>
  </r>
  <r>
    <x v="468"/>
    <x v="0"/>
    <x v="0"/>
    <x v="0"/>
    <n v="0"/>
    <m/>
    <n v="0"/>
    <n v="0"/>
    <m/>
    <n v="0"/>
    <n v="0"/>
    <n v="0"/>
    <n v="0"/>
    <n v="13500"/>
    <n v="0"/>
    <n v="13500"/>
  </r>
  <r>
    <x v="469"/>
    <x v="12"/>
    <x v="13"/>
    <x v="53"/>
    <n v="0"/>
    <m/>
    <n v="0"/>
    <n v="0"/>
    <m/>
    <n v="0"/>
    <n v="948949"/>
    <n v="0"/>
    <n v="948949"/>
    <n v="0"/>
    <n v="0"/>
    <n v="0"/>
  </r>
  <r>
    <x v="470"/>
    <x v="0"/>
    <x v="0"/>
    <x v="1"/>
    <n v="0"/>
    <m/>
    <n v="0"/>
    <n v="143488"/>
    <m/>
    <n v="143488"/>
    <n v="0"/>
    <n v="0"/>
    <n v="0"/>
    <n v="0"/>
    <n v="0"/>
    <n v="0"/>
  </r>
  <r>
    <x v="471"/>
    <x v="2"/>
    <x v="2"/>
    <x v="3"/>
    <n v="563126"/>
    <m/>
    <n v="563126"/>
    <n v="0"/>
    <m/>
    <n v="0"/>
    <n v="488208"/>
    <n v="0"/>
    <n v="488208"/>
    <n v="0"/>
    <n v="0"/>
    <n v="0"/>
  </r>
  <r>
    <x v="472"/>
    <x v="0"/>
    <x v="0"/>
    <x v="0"/>
    <n v="0"/>
    <m/>
    <n v="0"/>
    <n v="588420"/>
    <m/>
    <n v="588420"/>
    <n v="0"/>
    <n v="0"/>
    <n v="0"/>
    <n v="0"/>
    <n v="0"/>
    <n v="0"/>
  </r>
  <r>
    <x v="473"/>
    <x v="0"/>
    <x v="0"/>
    <x v="0"/>
    <n v="0"/>
    <m/>
    <n v="0"/>
    <n v="32397"/>
    <m/>
    <n v="32397"/>
    <n v="0"/>
    <n v="0"/>
    <n v="0"/>
    <n v="29358"/>
    <n v="0"/>
    <n v="29358"/>
  </r>
  <r>
    <x v="474"/>
    <x v="0"/>
    <x v="0"/>
    <x v="1"/>
    <n v="0"/>
    <m/>
    <n v="0"/>
    <n v="0"/>
    <m/>
    <n v="0"/>
    <n v="0"/>
    <n v="0"/>
    <n v="0"/>
    <n v="30090"/>
    <n v="0"/>
    <n v="30090"/>
  </r>
  <r>
    <x v="475"/>
    <x v="3"/>
    <x v="3"/>
    <x v="16"/>
    <n v="0"/>
    <m/>
    <n v="0"/>
    <n v="4745540.8600000003"/>
    <m/>
    <n v="4745540.8600000003"/>
    <n v="0"/>
    <n v="0"/>
    <n v="0"/>
    <n v="10481463"/>
    <n v="0"/>
    <n v="10481463"/>
  </r>
  <r>
    <x v="476"/>
    <x v="13"/>
    <x v="14"/>
    <x v="26"/>
    <n v="2991111"/>
    <m/>
    <n v="2991111"/>
    <n v="0"/>
    <m/>
    <n v="0"/>
    <n v="2991111"/>
    <n v="0"/>
    <n v="2991111"/>
    <n v="0"/>
    <n v="0"/>
    <n v="0"/>
  </r>
  <r>
    <x v="477"/>
    <x v="8"/>
    <x v="8"/>
    <x v="79"/>
    <n v="676300"/>
    <m/>
    <n v="676300"/>
    <n v="0"/>
    <m/>
    <n v="0"/>
    <n v="677742"/>
    <n v="0"/>
    <n v="677742"/>
    <n v="0"/>
    <n v="0"/>
    <n v="0"/>
  </r>
  <r>
    <x v="478"/>
    <x v="8"/>
    <x v="8"/>
    <x v="79"/>
    <n v="319936.52"/>
    <m/>
    <n v="319936.52"/>
    <n v="0"/>
    <m/>
    <n v="0"/>
    <n v="295158.12"/>
    <n v="0"/>
    <n v="295158.12"/>
    <n v="0"/>
    <n v="0"/>
    <n v="0"/>
  </r>
  <r>
    <x v="479"/>
    <x v="0"/>
    <x v="0"/>
    <x v="1"/>
    <n v="0"/>
    <m/>
    <n v="0"/>
    <n v="3500894"/>
    <m/>
    <n v="3500894"/>
    <n v="0"/>
    <n v="0"/>
    <n v="0"/>
    <n v="6011326"/>
    <n v="0"/>
    <n v="6011326"/>
  </r>
  <r>
    <x v="480"/>
    <x v="0"/>
    <x v="0"/>
    <x v="1"/>
    <n v="0"/>
    <m/>
    <n v="0"/>
    <n v="750593"/>
    <m/>
    <n v="750593"/>
    <n v="0"/>
    <n v="0"/>
    <n v="0"/>
    <n v="0"/>
    <n v="0"/>
    <n v="0"/>
  </r>
  <r>
    <x v="481"/>
    <x v="0"/>
    <x v="0"/>
    <x v="1"/>
    <n v="0"/>
    <m/>
    <n v="0"/>
    <n v="226800"/>
    <m/>
    <n v="226800"/>
    <n v="0"/>
    <n v="0"/>
    <n v="0"/>
    <n v="226800"/>
    <n v="0"/>
    <n v="226800"/>
  </r>
  <r>
    <x v="482"/>
    <x v="8"/>
    <x v="7"/>
    <x v="9"/>
    <n v="388251"/>
    <m/>
    <n v="388251"/>
    <n v="0"/>
    <m/>
    <n v="0"/>
    <n v="170365"/>
    <n v="0"/>
    <n v="170365"/>
    <n v="0"/>
    <n v="0"/>
    <n v="0"/>
  </r>
  <r>
    <x v="483"/>
    <x v="8"/>
    <x v="7"/>
    <x v="80"/>
    <n v="4829408"/>
    <m/>
    <n v="4829408"/>
    <n v="0"/>
    <m/>
    <n v="0"/>
    <n v="6303933"/>
    <n v="0"/>
    <n v="6303933"/>
    <n v="0"/>
    <n v="0"/>
    <n v="0"/>
  </r>
  <r>
    <x v="484"/>
    <x v="16"/>
    <x v="17"/>
    <x v="31"/>
    <n v="501477134.5"/>
    <m/>
    <n v="501477134.5"/>
    <n v="0"/>
    <m/>
    <n v="0"/>
    <n v="637901422.5"/>
    <n v="0"/>
    <n v="637901422.5"/>
    <n v="0"/>
    <n v="0"/>
    <n v="0"/>
  </r>
  <r>
    <x v="485"/>
    <x v="1"/>
    <x v="1"/>
    <x v="2"/>
    <n v="0"/>
    <m/>
    <n v="0"/>
    <n v="0"/>
    <m/>
    <n v="0"/>
    <n v="4265067.0199999996"/>
    <n v="0"/>
    <n v="4265067.0199999996"/>
    <n v="0"/>
    <n v="0"/>
    <n v="0"/>
  </r>
  <r>
    <x v="486"/>
    <x v="13"/>
    <x v="14"/>
    <x v="77"/>
    <n v="6416446.9100000001"/>
    <m/>
    <n v="6416446.9100000001"/>
    <n v="0"/>
    <m/>
    <n v="0"/>
    <n v="1138497.31"/>
    <n v="0"/>
    <n v="1138497.31"/>
    <n v="0"/>
    <n v="0"/>
    <n v="0"/>
  </r>
  <r>
    <x v="487"/>
    <x v="13"/>
    <x v="14"/>
    <x v="77"/>
    <n v="83731782.780000001"/>
    <m/>
    <n v="83731782.780000001"/>
    <n v="0"/>
    <m/>
    <n v="0"/>
    <n v="15442705.91"/>
    <n v="0"/>
    <n v="15442705.91"/>
    <n v="0"/>
    <n v="0"/>
    <n v="0"/>
  </r>
  <r>
    <x v="488"/>
    <x v="8"/>
    <x v="8"/>
    <x v="11"/>
    <n v="11164"/>
    <m/>
    <n v="11164"/>
    <n v="0"/>
    <m/>
    <n v="0"/>
    <n v="24987"/>
    <n v="0"/>
    <n v="24987"/>
    <n v="0"/>
    <n v="0"/>
    <n v="0"/>
  </r>
  <r>
    <x v="489"/>
    <x v="2"/>
    <x v="2"/>
    <x v="3"/>
    <n v="22024573.640000001"/>
    <m/>
    <n v="22024573.640000001"/>
    <n v="0"/>
    <m/>
    <n v="0"/>
    <n v="43044826"/>
    <n v="0"/>
    <n v="43044826"/>
    <n v="0"/>
    <n v="0"/>
    <n v="0"/>
  </r>
  <r>
    <x v="490"/>
    <x v="11"/>
    <x v="11"/>
    <x v="17"/>
    <n v="0"/>
    <m/>
    <n v="0"/>
    <n v="0"/>
    <m/>
    <n v="0"/>
    <n v="4945556"/>
    <n v="0"/>
    <n v="4945556"/>
    <n v="0"/>
    <n v="0"/>
    <n v="0"/>
  </r>
  <r>
    <x v="491"/>
    <x v="7"/>
    <x v="5"/>
    <x v="8"/>
    <n v="0"/>
    <m/>
    <n v="0"/>
    <n v="481820"/>
    <m/>
    <n v="481820"/>
    <m/>
    <m/>
    <m/>
    <m/>
    <m/>
    <m/>
  </r>
  <r>
    <x v="492"/>
    <x v="11"/>
    <x v="11"/>
    <x v="17"/>
    <n v="0"/>
    <m/>
    <n v="0"/>
    <n v="0"/>
    <m/>
    <n v="0"/>
    <n v="1000000"/>
    <n v="0"/>
    <n v="1000000"/>
    <n v="0"/>
    <n v="0"/>
    <n v="0"/>
  </r>
  <r>
    <x v="493"/>
    <x v="7"/>
    <x v="5"/>
    <x v="8"/>
    <n v="0"/>
    <m/>
    <n v="0"/>
    <n v="150105"/>
    <m/>
    <n v="150105"/>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1" cacheId="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3:H611" firstHeaderRow="0" firstDataRow="1" firstDataCol="4"/>
  <pivotFields count="16">
    <pivotField axis="axisRow" showAll="0">
      <items count="495">
        <item x="0"/>
        <item x="493"/>
        <item x="68"/>
        <item x="73"/>
        <item x="75"/>
        <item x="2"/>
        <item x="306"/>
        <item x="71"/>
        <item x="320"/>
        <item x="72"/>
        <item x="74"/>
        <item x="3"/>
        <item x="80"/>
        <item x="66"/>
        <item x="63"/>
        <item x="102"/>
        <item x="85"/>
        <item x="4"/>
        <item x="86"/>
        <item x="88"/>
        <item x="89"/>
        <item x="394"/>
        <item x="395"/>
        <item x="5"/>
        <item x="91"/>
        <item x="93"/>
        <item x="6"/>
        <item x="7"/>
        <item x="94"/>
        <item x="95"/>
        <item x="396"/>
        <item x="96"/>
        <item x="97"/>
        <item x="99"/>
        <item x="100"/>
        <item x="101"/>
        <item x="103"/>
        <item x="8"/>
        <item x="104"/>
        <item x="105"/>
        <item x="106"/>
        <item x="9"/>
        <item x="78"/>
        <item x="107"/>
        <item x="109"/>
        <item x="110"/>
        <item x="397"/>
        <item x="111"/>
        <item x="112"/>
        <item x="79"/>
        <item x="70"/>
        <item x="113"/>
        <item x="331"/>
        <item x="398"/>
        <item x="10"/>
        <item x="11"/>
        <item x="400"/>
        <item x="115"/>
        <item x="116"/>
        <item x="152"/>
        <item x="117"/>
        <item x="401"/>
        <item x="119"/>
        <item x="120"/>
        <item x="121"/>
        <item x="122"/>
        <item x="402"/>
        <item x="123"/>
        <item x="403"/>
        <item x="124"/>
        <item x="125"/>
        <item x="126"/>
        <item x="127"/>
        <item x="128"/>
        <item x="129"/>
        <item x="130"/>
        <item x="131"/>
        <item x="132"/>
        <item x="98"/>
        <item x="404"/>
        <item x="405"/>
        <item x="467"/>
        <item x="133"/>
        <item x="134"/>
        <item x="135"/>
        <item x="136"/>
        <item x="138"/>
        <item x="139"/>
        <item x="12"/>
        <item x="137"/>
        <item x="140"/>
        <item x="141"/>
        <item x="142"/>
        <item x="143"/>
        <item x="144"/>
        <item x="145"/>
        <item x="146"/>
        <item x="147"/>
        <item x="148"/>
        <item x="149"/>
        <item x="150"/>
        <item x="151"/>
        <item x="153"/>
        <item x="154"/>
        <item x="155"/>
        <item x="156"/>
        <item x="408"/>
        <item x="158"/>
        <item x="159"/>
        <item x="409"/>
        <item x="84"/>
        <item x="160"/>
        <item x="161"/>
        <item x="162"/>
        <item x="410"/>
        <item x="13"/>
        <item x="14"/>
        <item x="411"/>
        <item x="163"/>
        <item x="164"/>
        <item x="165"/>
        <item x="166"/>
        <item x="168"/>
        <item x="169"/>
        <item x="170"/>
        <item x="171"/>
        <item x="172"/>
        <item x="173"/>
        <item x="174"/>
        <item x="175"/>
        <item x="87"/>
        <item x="176"/>
        <item x="177"/>
        <item x="178"/>
        <item x="412"/>
        <item x="179"/>
        <item x="180"/>
        <item x="181"/>
        <item x="182"/>
        <item x="413"/>
        <item x="15"/>
        <item x="183"/>
        <item x="184"/>
        <item x="16"/>
        <item x="414"/>
        <item x="185"/>
        <item x="468"/>
        <item x="416"/>
        <item x="186"/>
        <item x="187"/>
        <item x="188"/>
        <item x="190"/>
        <item x="193"/>
        <item x="17"/>
        <item x="194"/>
        <item x="18"/>
        <item x="195"/>
        <item x="196"/>
        <item x="417"/>
        <item x="197"/>
        <item x="198"/>
        <item x="418"/>
        <item x="419"/>
        <item x="19"/>
        <item x="20"/>
        <item x="421"/>
        <item x="199"/>
        <item x="200"/>
        <item x="422"/>
        <item x="201"/>
        <item x="307"/>
        <item x="21"/>
        <item x="309"/>
        <item x="202"/>
        <item x="423"/>
        <item x="424"/>
        <item x="203"/>
        <item x="204"/>
        <item x="425"/>
        <item x="205"/>
        <item x="167"/>
        <item x="206"/>
        <item x="208"/>
        <item x="209"/>
        <item x="210"/>
        <item x="211"/>
        <item x="212"/>
        <item x="469"/>
        <item x="213"/>
        <item x="214"/>
        <item x="426"/>
        <item x="215"/>
        <item x="216"/>
        <item x="22"/>
        <item x="108"/>
        <item x="217"/>
        <item x="289"/>
        <item x="207"/>
        <item x="218"/>
        <item x="427"/>
        <item x="219"/>
        <item x="220"/>
        <item x="23"/>
        <item x="221"/>
        <item x="470"/>
        <item x="223"/>
        <item x="225"/>
        <item x="471"/>
        <item x="226"/>
        <item x="227"/>
        <item x="228"/>
        <item x="229"/>
        <item x="24"/>
        <item x="230"/>
        <item x="231"/>
        <item x="491"/>
        <item x="232"/>
        <item x="233"/>
        <item x="234"/>
        <item x="428"/>
        <item x="235"/>
        <item x="236"/>
        <item x="472"/>
        <item x="237"/>
        <item x="238"/>
        <item x="239"/>
        <item x="240"/>
        <item x="241"/>
        <item x="242"/>
        <item x="243"/>
        <item x="244"/>
        <item x="245"/>
        <item x="246"/>
        <item x="67"/>
        <item x="247"/>
        <item x="248"/>
        <item x="249"/>
        <item x="25"/>
        <item x="250"/>
        <item x="251"/>
        <item x="61"/>
        <item x="252"/>
        <item x="473"/>
        <item x="26"/>
        <item x="253"/>
        <item x="429"/>
        <item x="69"/>
        <item x="254"/>
        <item x="77"/>
        <item x="255"/>
        <item x="256"/>
        <item x="257"/>
        <item x="258"/>
        <item x="259"/>
        <item x="260"/>
        <item x="261"/>
        <item x="27"/>
        <item x="262"/>
        <item x="263"/>
        <item x="430"/>
        <item x="264"/>
        <item x="265"/>
        <item x="266"/>
        <item x="267"/>
        <item x="293"/>
        <item x="268"/>
        <item x="30"/>
        <item x="269"/>
        <item x="270"/>
        <item x="271"/>
        <item x="431"/>
        <item x="272"/>
        <item x="28"/>
        <item x="273"/>
        <item x="191"/>
        <item x="29"/>
        <item x="274"/>
        <item x="275"/>
        <item x="276"/>
        <item x="278"/>
        <item x="279"/>
        <item x="280"/>
        <item x="281"/>
        <item x="432"/>
        <item x="282"/>
        <item x="284"/>
        <item x="433"/>
        <item x="287"/>
        <item x="65"/>
        <item x="437"/>
        <item x="436"/>
        <item x="434"/>
        <item x="438"/>
        <item x="288"/>
        <item x="90"/>
        <item x="290"/>
        <item x="291"/>
        <item x="31"/>
        <item x="292"/>
        <item x="294"/>
        <item x="295"/>
        <item x="296"/>
        <item x="297"/>
        <item x="298"/>
        <item x="299"/>
        <item x="300"/>
        <item x="301"/>
        <item x="302"/>
        <item x="303"/>
        <item x="304"/>
        <item x="305"/>
        <item x="308"/>
        <item x="310"/>
        <item x="311"/>
        <item x="312"/>
        <item x="313"/>
        <item x="314"/>
        <item x="439"/>
        <item x="32"/>
        <item x="315"/>
        <item x="316"/>
        <item x="317"/>
        <item x="318"/>
        <item x="319"/>
        <item x="321"/>
        <item x="39"/>
        <item x="322"/>
        <item x="442"/>
        <item x="323"/>
        <item x="324"/>
        <item x="33"/>
        <item x="34"/>
        <item x="35"/>
        <item x="325"/>
        <item x="326"/>
        <item x="327"/>
        <item x="328"/>
        <item x="329"/>
        <item x="36"/>
        <item x="333"/>
        <item x="334"/>
        <item x="335"/>
        <item x="336"/>
        <item x="337"/>
        <item x="37"/>
        <item x="38"/>
        <item x="440"/>
        <item x="338"/>
        <item x="441"/>
        <item x="339"/>
        <item x="340"/>
        <item x="451"/>
        <item x="446"/>
        <item x="474"/>
        <item x="445"/>
        <item x="475"/>
        <item x="42"/>
        <item x="341"/>
        <item x="45"/>
        <item x="342"/>
        <item x="343"/>
        <item x="40"/>
        <item x="344"/>
        <item x="345"/>
        <item x="346"/>
        <item x="347"/>
        <item x="348"/>
        <item x="349"/>
        <item x="350"/>
        <item x="351"/>
        <item x="157"/>
        <item x="41"/>
        <item x="352"/>
        <item x="353"/>
        <item x="444"/>
        <item x="81"/>
        <item x="354"/>
        <item x="355"/>
        <item x="447"/>
        <item x="64"/>
        <item x="356"/>
        <item x="114"/>
        <item x="332"/>
        <item x="43"/>
        <item x="448"/>
        <item x="44"/>
        <item x="357"/>
        <item x="222"/>
        <item x="358"/>
        <item x="359"/>
        <item x="360"/>
        <item x="450"/>
        <item x="449"/>
        <item x="361"/>
        <item x="62"/>
        <item x="362"/>
        <item x="363"/>
        <item x="364"/>
        <item x="365"/>
        <item x="452"/>
        <item x="366"/>
        <item x="367"/>
        <item x="368"/>
        <item x="369"/>
        <item x="370"/>
        <item x="453"/>
        <item x="76"/>
        <item x="371"/>
        <item x="372"/>
        <item x="46"/>
        <item x="373"/>
        <item x="454"/>
        <item x="374"/>
        <item x="224"/>
        <item x="375"/>
        <item x="47"/>
        <item x="49"/>
        <item x="455"/>
        <item x="376"/>
        <item x="48"/>
        <item x="378"/>
        <item x="377"/>
        <item x="456"/>
        <item x="50"/>
        <item x="51"/>
        <item x="379"/>
        <item x="380"/>
        <item x="381"/>
        <item x="382"/>
        <item x="457"/>
        <item x="383"/>
        <item x="384"/>
        <item x="458"/>
        <item x="52"/>
        <item x="385"/>
        <item x="386"/>
        <item x="387"/>
        <item x="388"/>
        <item x="389"/>
        <item x="390"/>
        <item x="53"/>
        <item x="54"/>
        <item x="391"/>
        <item x="392"/>
        <item x="55"/>
        <item x="393"/>
        <item x="464"/>
        <item x="465"/>
        <item x="1"/>
        <item x="466"/>
        <item x="476"/>
        <item x="477"/>
        <item x="478"/>
        <item x="479"/>
        <item x="459"/>
        <item x="460"/>
        <item x="56"/>
        <item x="480"/>
        <item x="463"/>
        <item x="59"/>
        <item x="57"/>
        <item x="481"/>
        <item x="58"/>
        <item x="482"/>
        <item x="483"/>
        <item x="484"/>
        <item x="485"/>
        <item x="486"/>
        <item x="461"/>
        <item x="487"/>
        <item x="60"/>
        <item x="488"/>
        <item x="489"/>
        <item x="492"/>
        <item x="399"/>
        <item x="415"/>
        <item x="420"/>
        <item x="490"/>
        <item x="92"/>
        <item x="189"/>
        <item x="277"/>
        <item x="283"/>
        <item x="285"/>
        <item x="435"/>
        <item x="118"/>
        <item x="192"/>
        <item x="286"/>
        <item x="330"/>
        <item x="443"/>
        <item x="462"/>
        <item x="82"/>
        <item x="83"/>
        <item x="407"/>
        <item x="406"/>
        <item t="default"/>
      </items>
    </pivotField>
    <pivotField axis="axisRow" outline="0" showAll="0" defaultSubtotal="0">
      <items count="24">
        <item x="13"/>
        <item x="6"/>
        <item x="11"/>
        <item x="2"/>
        <item x="15"/>
        <item x="10"/>
        <item x="1"/>
        <item x="9"/>
        <item x="14"/>
        <item x="3"/>
        <item x="18"/>
        <item x="17"/>
        <item x="23"/>
        <item x="0"/>
        <item x="22"/>
        <item x="5"/>
        <item x="21"/>
        <item x="4"/>
        <item x="20"/>
        <item x="16"/>
        <item x="19"/>
        <item x="12"/>
        <item x="8"/>
        <item x="7"/>
      </items>
    </pivotField>
    <pivotField axis="axisRow" outline="0" showAll="0">
      <items count="29">
        <item x="16"/>
        <item x="9"/>
        <item x="18"/>
        <item x="20"/>
        <item x="21"/>
        <item x="13"/>
        <item x="2"/>
        <item x="3"/>
        <item x="19"/>
        <item x="25"/>
        <item x="8"/>
        <item x="7"/>
        <item x="12"/>
        <item x="1"/>
        <item x="5"/>
        <item x="10"/>
        <item x="6"/>
        <item x="26"/>
        <item x="23"/>
        <item x="11"/>
        <item x="14"/>
        <item x="17"/>
        <item x="15"/>
        <item x="4"/>
        <item x="22"/>
        <item x="27"/>
        <item x="24"/>
        <item x="0"/>
        <item t="default"/>
      </items>
    </pivotField>
    <pivotField axis="axisRow" outline="0" showAll="0">
      <items count="83">
        <item x="17"/>
        <item x="12"/>
        <item x="2"/>
        <item x="18"/>
        <item x="20"/>
        <item x="21"/>
        <item x="66"/>
        <item x="7"/>
        <item x="61"/>
        <item x="22"/>
        <item x="27"/>
        <item x="77"/>
        <item x="30"/>
        <item x="43"/>
        <item x="75"/>
        <item x="42"/>
        <item x="23"/>
        <item x="35"/>
        <item m="1" x="81"/>
        <item x="38"/>
        <item x="40"/>
        <item x="67"/>
        <item x="9"/>
        <item x="44"/>
        <item x="45"/>
        <item x="74"/>
        <item x="11"/>
        <item x="46"/>
        <item x="6"/>
        <item x="78"/>
        <item x="49"/>
        <item x="50"/>
        <item x="48"/>
        <item x="53"/>
        <item x="52"/>
        <item x="54"/>
        <item x="41"/>
        <item x="32"/>
        <item x="19"/>
        <item x="13"/>
        <item x="36"/>
        <item x="25"/>
        <item x="56"/>
        <item x="24"/>
        <item x="57"/>
        <item x="15"/>
        <item x="51"/>
        <item x="71"/>
        <item x="14"/>
        <item x="37"/>
        <item x="59"/>
        <item x="28"/>
        <item x="31"/>
        <item x="63"/>
        <item x="47"/>
        <item x="64"/>
        <item x="29"/>
        <item x="65"/>
        <item x="79"/>
        <item x="39"/>
        <item x="5"/>
        <item x="16"/>
        <item x="70"/>
        <item x="68"/>
        <item x="69"/>
        <item x="55"/>
        <item x="72"/>
        <item x="33"/>
        <item x="62"/>
        <item x="58"/>
        <item x="26"/>
        <item x="60"/>
        <item x="73"/>
        <item x="1"/>
        <item x="0"/>
        <item x="8"/>
        <item x="3"/>
        <item x="34"/>
        <item x="4"/>
        <item x="10"/>
        <item x="80"/>
        <item x="76"/>
        <item t="default"/>
      </items>
    </pivotField>
    <pivotField numFmtId="43" showAll="0"/>
    <pivotField showAll="0"/>
    <pivotField dataField="1" numFmtId="43" showAll="0"/>
    <pivotField numFmtId="43" showAll="0"/>
    <pivotField showAll="0"/>
    <pivotField dataField="1" numFmtId="43" showAll="0"/>
    <pivotField showAll="0"/>
    <pivotField showAll="0"/>
    <pivotField dataField="1" showAll="0"/>
    <pivotField showAll="0"/>
    <pivotField showAll="0"/>
    <pivotField dataField="1" showAll="0"/>
  </pivotFields>
  <rowFields count="4">
    <field x="1"/>
    <field x="2"/>
    <field x="3"/>
    <field x="0"/>
  </rowFields>
  <rowItems count="608">
    <i>
      <x/>
      <x v="20"/>
      <x v="11"/>
      <x v="289"/>
    </i>
    <i r="3">
      <x v="290"/>
    </i>
    <i r="3">
      <x v="291"/>
    </i>
    <i r="3">
      <x v="292"/>
    </i>
    <i r="3">
      <x v="458"/>
    </i>
    <i r="3">
      <x v="467"/>
    </i>
    <i r="3">
      <x v="468"/>
    </i>
    <i r="3">
      <x v="469"/>
    </i>
    <i r="3">
      <x v="483"/>
    </i>
    <i r="3">
      <x v="489"/>
    </i>
    <i t="default" r="2">
      <x v="11"/>
    </i>
    <i r="2">
      <x v="70"/>
      <x v="40"/>
    </i>
    <i r="3">
      <x v="67"/>
    </i>
    <i r="3">
      <x v="118"/>
    </i>
    <i r="3">
      <x v="138"/>
    </i>
    <i r="3">
      <x v="141"/>
    </i>
    <i r="3">
      <x v="251"/>
    </i>
    <i r="3">
      <x v="282"/>
    </i>
    <i r="3">
      <x v="450"/>
    </i>
    <i t="default" r="2">
      <x v="70"/>
    </i>
    <i r="2">
      <x v="71"/>
      <x v="302"/>
    </i>
    <i r="3">
      <x v="303"/>
    </i>
    <i r="3">
      <x v="304"/>
    </i>
    <i r="3">
      <x v="305"/>
    </i>
    <i r="3">
      <x v="306"/>
    </i>
    <i r="3">
      <x v="307"/>
    </i>
    <i r="3">
      <x v="308"/>
    </i>
    <i r="3">
      <x v="309"/>
    </i>
    <i t="default" r="2">
      <x v="71"/>
    </i>
    <i t="default" r="1">
      <x v="20"/>
    </i>
    <i>
      <x v="1"/>
      <x v="16"/>
      <x v="7"/>
      <x v="88"/>
    </i>
    <i r="3">
      <x v="89"/>
    </i>
    <i r="3">
      <x v="90"/>
    </i>
    <i r="3">
      <x v="134"/>
    </i>
    <i r="3">
      <x v="135"/>
    </i>
    <i r="3">
      <x v="196"/>
    </i>
    <i t="default" r="2">
      <x v="7"/>
    </i>
    <i t="default" r="1">
      <x v="16"/>
    </i>
    <i>
      <x v="2"/>
      <x v="19"/>
      <x/>
      <x v="111"/>
    </i>
    <i r="3">
      <x v="158"/>
    </i>
    <i r="3">
      <x v="174"/>
    </i>
    <i r="3">
      <x v="246"/>
    </i>
    <i r="3">
      <x v="351"/>
    </i>
    <i r="3">
      <x v="413"/>
    </i>
    <i r="3">
      <x v="441"/>
    </i>
    <i r="3">
      <x v="473"/>
    </i>
    <i r="3">
      <x v="474"/>
    </i>
    <i r="3">
      <x v="475"/>
    </i>
    <i r="3">
      <x v="476"/>
    </i>
    <i r="3">
      <x v="477"/>
    </i>
    <i t="default" r="2">
      <x/>
    </i>
    <i r="2">
      <x v="8"/>
      <x v="315"/>
    </i>
    <i t="default" r="2">
      <x v="8"/>
    </i>
    <i r="2">
      <x v="40"/>
      <x v="84"/>
    </i>
    <i r="3">
      <x v="85"/>
    </i>
    <i r="3">
      <x v="86"/>
    </i>
    <i r="3">
      <x v="87"/>
    </i>
    <i r="3">
      <x v="91"/>
    </i>
    <i r="3">
      <x v="92"/>
    </i>
    <i t="default" r="2">
      <x v="40"/>
    </i>
    <i t="default" r="1">
      <x v="19"/>
    </i>
    <i>
      <x v="3"/>
      <x v="6"/>
      <x v="76"/>
      <x v="3"/>
    </i>
    <i r="3">
      <x v="9"/>
    </i>
    <i r="3">
      <x v="10"/>
    </i>
    <i r="3">
      <x v="14"/>
    </i>
    <i r="3">
      <x v="15"/>
    </i>
    <i r="3">
      <x v="17"/>
    </i>
    <i r="3">
      <x v="22"/>
    </i>
    <i r="3">
      <x v="26"/>
    </i>
    <i r="3">
      <x v="57"/>
    </i>
    <i r="3">
      <x v="58"/>
    </i>
    <i r="3">
      <x v="62"/>
    </i>
    <i r="3">
      <x v="75"/>
    </i>
    <i r="3">
      <x v="205"/>
    </i>
    <i r="3">
      <x v="207"/>
    </i>
    <i r="3">
      <x v="208"/>
    </i>
    <i r="3">
      <x v="220"/>
    </i>
    <i r="3">
      <x v="258"/>
    </i>
    <i r="3">
      <x v="269"/>
    </i>
    <i r="3">
      <x v="287"/>
    </i>
    <i r="3">
      <x v="324"/>
    </i>
    <i r="3">
      <x v="326"/>
    </i>
    <i r="3">
      <x v="327"/>
    </i>
    <i r="3">
      <x v="358"/>
    </i>
    <i r="3">
      <x v="360"/>
    </i>
    <i r="3">
      <x v="375"/>
    </i>
    <i r="3">
      <x v="386"/>
    </i>
    <i r="3">
      <x v="388"/>
    </i>
    <i r="3">
      <x v="389"/>
    </i>
    <i r="3">
      <x v="391"/>
    </i>
    <i r="3">
      <x v="394"/>
    </i>
    <i r="3">
      <x v="443"/>
    </i>
    <i r="3">
      <x v="472"/>
    </i>
    <i r="3">
      <x v="488"/>
    </i>
    <i t="default" r="2">
      <x v="76"/>
    </i>
    <i t="default" r="1">
      <x v="6"/>
    </i>
    <i>
      <x v="4"/>
      <x/>
      <x v="6"/>
      <x v="357"/>
    </i>
    <i t="default" r="2">
      <x v="6"/>
    </i>
    <i r="2">
      <x v="12"/>
      <x v="48"/>
    </i>
    <i t="default" r="2">
      <x v="12"/>
    </i>
    <i t="default" r="1">
      <x/>
    </i>
    <i>
      <x v="5"/>
      <x v="15"/>
      <x v="39"/>
      <x v="36"/>
    </i>
    <i r="3">
      <x v="59"/>
    </i>
    <i r="3">
      <x v="103"/>
    </i>
    <i r="3">
      <x v="157"/>
    </i>
    <i r="3">
      <x v="202"/>
    </i>
    <i r="3">
      <x v="209"/>
    </i>
    <i r="3">
      <x v="216"/>
    </i>
    <i r="3">
      <x v="232"/>
    </i>
    <i r="3">
      <x v="236"/>
    </i>
    <i r="3">
      <x v="237"/>
    </i>
    <i r="3">
      <x v="241"/>
    </i>
    <i r="3">
      <x v="245"/>
    </i>
    <i r="3">
      <x v="247"/>
    </i>
    <i r="3">
      <x v="248"/>
    </i>
    <i r="3">
      <x v="286"/>
    </i>
    <i r="3">
      <x v="330"/>
    </i>
    <i r="3">
      <x v="346"/>
    </i>
    <i r="3">
      <x v="359"/>
    </i>
    <i r="3">
      <x v="374"/>
    </i>
    <i r="3">
      <x v="405"/>
    </i>
    <i r="3">
      <x v="406"/>
    </i>
    <i r="3">
      <x v="407"/>
    </i>
    <i r="3">
      <x v="411"/>
    </i>
    <i r="3">
      <x v="412"/>
    </i>
    <i r="3">
      <x v="414"/>
    </i>
    <i t="default" r="2">
      <x v="39"/>
    </i>
    <i t="default" r="1">
      <x v="15"/>
    </i>
    <i>
      <x v="6"/>
      <x v="13"/>
      <x v="2"/>
      <x v="4"/>
    </i>
    <i r="3">
      <x v="5"/>
    </i>
    <i r="3">
      <x v="70"/>
    </i>
    <i r="3">
      <x v="231"/>
    </i>
    <i r="3">
      <x v="255"/>
    </i>
    <i r="3">
      <x v="456"/>
    </i>
    <i r="3">
      <x v="466"/>
    </i>
    <i t="default" r="2">
      <x v="2"/>
    </i>
    <i r="2">
      <x v="29"/>
      <x v="348"/>
    </i>
    <i t="default" r="2">
      <x v="29"/>
    </i>
    <i r="2">
      <x v="31"/>
      <x v="178"/>
    </i>
    <i r="3">
      <x v="179"/>
    </i>
    <i t="default" r="2">
      <x v="31"/>
    </i>
    <i r="2">
      <x v="46"/>
      <x v="181"/>
    </i>
    <i r="3">
      <x v="293"/>
    </i>
    <i t="default" r="2">
      <x v="46"/>
    </i>
    <i t="default" r="1">
      <x v="13"/>
    </i>
    <i>
      <x v="7"/>
      <x v="1"/>
      <x v="1"/>
      <x v="6"/>
    </i>
    <i r="3">
      <x v="170"/>
    </i>
    <i r="3">
      <x v="171"/>
    </i>
    <i r="3">
      <x v="172"/>
    </i>
    <i r="3">
      <x v="310"/>
    </i>
    <i r="3">
      <x v="311"/>
    </i>
    <i r="3">
      <x v="312"/>
    </i>
    <i r="3">
      <x v="313"/>
    </i>
    <i r="3">
      <x v="416"/>
    </i>
    <i r="3">
      <x v="417"/>
    </i>
    <i r="3">
      <x v="419"/>
    </i>
    <i r="3">
      <x v="422"/>
    </i>
    <i r="3">
      <x v="423"/>
    </i>
    <i r="3">
      <x v="424"/>
    </i>
    <i r="3">
      <x v="432"/>
    </i>
    <i r="3">
      <x v="433"/>
    </i>
    <i t="default" r="2">
      <x v="1"/>
    </i>
    <i t="default" r="1">
      <x v="1"/>
    </i>
    <i>
      <x v="8"/>
      <x v="22"/>
      <x v="10"/>
      <x v="43"/>
    </i>
    <i r="3">
      <x v="343"/>
    </i>
    <i t="default" r="2">
      <x v="10"/>
    </i>
    <i t="default" r="1">
      <x v="22"/>
    </i>
    <i r="1">
      <x v="24"/>
      <x v="36"/>
      <x v="119"/>
    </i>
    <i t="default" r="2">
      <x v="36"/>
    </i>
    <i t="default" r="1">
      <x v="24"/>
    </i>
    <i>
      <x v="9"/>
      <x v="7"/>
      <x v="61"/>
      <x v="352"/>
    </i>
    <i r="3">
      <x v="354"/>
    </i>
    <i r="3">
      <x v="355"/>
    </i>
    <i r="3">
      <x v="356"/>
    </i>
    <i t="default" r="2">
      <x v="61"/>
    </i>
    <i r="2">
      <x v="78"/>
      <x v="23"/>
    </i>
    <i r="3">
      <x v="462"/>
    </i>
    <i t="default" r="2">
      <x v="78"/>
    </i>
    <i r="2">
      <x v="79"/>
      <x v="16"/>
    </i>
    <i r="3">
      <x v="18"/>
    </i>
    <i r="3">
      <x v="31"/>
    </i>
    <i r="3">
      <x v="143"/>
    </i>
    <i r="3">
      <x v="144"/>
    </i>
    <i r="3">
      <x v="156"/>
    </i>
    <i r="3">
      <x v="206"/>
    </i>
    <i r="3">
      <x v="211"/>
    </i>
    <i r="3">
      <x v="212"/>
    </i>
    <i r="3">
      <x v="256"/>
    </i>
    <i r="3">
      <x v="372"/>
    </i>
    <i r="3">
      <x v="373"/>
    </i>
    <i r="3">
      <x v="397"/>
    </i>
    <i t="default" r="2">
      <x v="79"/>
    </i>
    <i t="default" r="1">
      <x v="7"/>
    </i>
    <i>
      <x v="10"/>
      <x v="8"/>
      <x v="49"/>
      <x v="93"/>
    </i>
    <i r="3">
      <x v="94"/>
    </i>
    <i r="3">
      <x v="301"/>
    </i>
    <i r="3">
      <x v="314"/>
    </i>
    <i t="default" r="2">
      <x v="49"/>
    </i>
    <i t="default" r="1">
      <x v="8"/>
    </i>
    <i>
      <x v="11"/>
      <x v="2"/>
      <x v="17"/>
      <x v="83"/>
    </i>
    <i t="default" r="2">
      <x v="17"/>
    </i>
    <i t="default" r="1">
      <x v="2"/>
    </i>
    <i>
      <x v="12"/>
      <x v="25"/>
      <x v="62"/>
      <x v="400"/>
    </i>
    <i t="default" r="2">
      <x v="62"/>
    </i>
    <i t="default" r="1">
      <x v="25"/>
    </i>
    <i>
      <x v="13"/>
      <x v="27"/>
      <x v="73"/>
      <x v="11"/>
    </i>
    <i r="3">
      <x v="12"/>
    </i>
    <i r="3">
      <x v="13"/>
    </i>
    <i r="3">
      <x v="27"/>
    </i>
    <i r="3">
      <x v="29"/>
    </i>
    <i r="3">
      <x v="35"/>
    </i>
    <i r="3">
      <x v="37"/>
    </i>
    <i r="3">
      <x v="42"/>
    </i>
    <i r="3">
      <x v="49"/>
    </i>
    <i r="3">
      <x v="61"/>
    </i>
    <i r="3">
      <x v="63"/>
    </i>
    <i r="3">
      <x v="82"/>
    </i>
    <i r="3">
      <x v="102"/>
    </i>
    <i r="3">
      <x v="112"/>
    </i>
    <i r="3">
      <x v="113"/>
    </i>
    <i r="3">
      <x v="142"/>
    </i>
    <i r="3">
      <x v="148"/>
    </i>
    <i r="3">
      <x v="159"/>
    </i>
    <i r="3">
      <x v="173"/>
    </i>
    <i r="3">
      <x v="175"/>
    </i>
    <i r="3">
      <x v="197"/>
    </i>
    <i r="3">
      <x v="203"/>
    </i>
    <i r="3">
      <x v="204"/>
    </i>
    <i r="3">
      <x v="213"/>
    </i>
    <i r="3">
      <x v="214"/>
    </i>
    <i r="3">
      <x v="219"/>
    </i>
    <i r="3">
      <x v="226"/>
    </i>
    <i r="3">
      <x v="233"/>
    </i>
    <i r="3">
      <x v="259"/>
    </i>
    <i r="3">
      <x v="270"/>
    </i>
    <i r="3">
      <x v="271"/>
    </i>
    <i r="3">
      <x v="288"/>
    </i>
    <i r="3">
      <x v="316"/>
    </i>
    <i r="3">
      <x v="328"/>
    </i>
    <i r="3">
      <x v="329"/>
    </i>
    <i r="3">
      <x v="332"/>
    </i>
    <i r="3">
      <x v="338"/>
    </i>
    <i r="3">
      <x v="344"/>
    </i>
    <i r="3">
      <x v="349"/>
    </i>
    <i r="3">
      <x v="353"/>
    </i>
    <i r="3">
      <x v="362"/>
    </i>
    <i r="3">
      <x v="378"/>
    </i>
    <i r="3">
      <x v="379"/>
    </i>
    <i r="3">
      <x v="387"/>
    </i>
    <i r="3">
      <x v="390"/>
    </i>
    <i r="3">
      <x v="392"/>
    </i>
    <i r="3">
      <x v="393"/>
    </i>
    <i r="3">
      <x v="408"/>
    </i>
    <i r="3">
      <x v="409"/>
    </i>
    <i r="3">
      <x v="418"/>
    </i>
    <i r="3">
      <x v="442"/>
    </i>
    <i r="3">
      <x v="448"/>
    </i>
    <i r="3">
      <x v="449"/>
    </i>
    <i r="3">
      <x v="453"/>
    </i>
    <i r="3">
      <x v="454"/>
    </i>
    <i r="3">
      <x v="457"/>
    </i>
    <i r="3">
      <x v="459"/>
    </i>
    <i r="3">
      <x v="460"/>
    </i>
    <i r="3">
      <x v="461"/>
    </i>
    <i r="3">
      <x v="490"/>
    </i>
    <i r="3">
      <x v="491"/>
    </i>
    <i t="default" r="2">
      <x v="73"/>
    </i>
    <i r="2">
      <x v="74"/>
      <x/>
    </i>
    <i r="3">
      <x v="2"/>
    </i>
    <i r="3">
      <x v="8"/>
    </i>
    <i r="3">
      <x v="21"/>
    </i>
    <i r="3">
      <x v="25"/>
    </i>
    <i r="3">
      <x v="30"/>
    </i>
    <i r="3">
      <x v="50"/>
    </i>
    <i r="3">
      <x v="68"/>
    </i>
    <i r="3">
      <x v="81"/>
    </i>
    <i r="3">
      <x v="107"/>
    </i>
    <i r="3">
      <x v="109"/>
    </i>
    <i r="3">
      <x v="110"/>
    </i>
    <i r="3">
      <x v="115"/>
    </i>
    <i r="3">
      <x v="117"/>
    </i>
    <i r="3">
      <x v="133"/>
    </i>
    <i r="3">
      <x v="146"/>
    </i>
    <i r="3">
      <x v="150"/>
    </i>
    <i r="3">
      <x v="154"/>
    </i>
    <i r="3">
      <x v="155"/>
    </i>
    <i r="3">
      <x v="210"/>
    </i>
    <i r="3">
      <x v="217"/>
    </i>
    <i r="3">
      <x v="222"/>
    </i>
    <i r="3">
      <x v="234"/>
    </i>
    <i r="3">
      <x v="235"/>
    </i>
    <i r="3">
      <x v="240"/>
    </i>
    <i r="3">
      <x v="242"/>
    </i>
    <i r="3">
      <x v="243"/>
    </i>
    <i r="3">
      <x v="244"/>
    </i>
    <i r="3">
      <x v="266"/>
    </i>
    <i r="3">
      <x v="272"/>
    </i>
    <i r="3">
      <x v="273"/>
    </i>
    <i r="3">
      <x v="274"/>
    </i>
    <i r="3">
      <x v="275"/>
    </i>
    <i r="3">
      <x v="276"/>
    </i>
    <i r="3">
      <x v="277"/>
    </i>
    <i r="3">
      <x v="283"/>
    </i>
    <i r="3">
      <x v="285"/>
    </i>
    <i r="3">
      <x v="331"/>
    </i>
    <i r="3">
      <x v="361"/>
    </i>
    <i r="3">
      <x v="415"/>
    </i>
    <i r="3">
      <x v="436"/>
    </i>
    <i r="3">
      <x v="447"/>
    </i>
    <i r="3">
      <x v="455"/>
    </i>
    <i r="3">
      <x v="478"/>
    </i>
    <i r="3">
      <x v="481"/>
    </i>
    <i r="3">
      <x v="482"/>
    </i>
    <i r="3">
      <x v="485"/>
    </i>
    <i r="3">
      <x v="486"/>
    </i>
    <i t="default" r="2">
      <x v="74"/>
    </i>
    <i t="default" r="1">
      <x v="27"/>
    </i>
    <i>
      <x v="14"/>
      <x v="14"/>
      <x v="81"/>
      <x v="492"/>
    </i>
    <i t="default" r="2">
      <x v="81"/>
    </i>
    <i t="default" r="1">
      <x v="14"/>
    </i>
    <i r="1">
      <x v="17"/>
      <x v="21"/>
      <x v="363"/>
    </i>
    <i t="default" r="2">
      <x v="21"/>
    </i>
    <i t="default" r="1">
      <x v="17"/>
    </i>
    <i>
      <x v="15"/>
      <x v="14"/>
      <x v="28"/>
      <x v="51"/>
    </i>
    <i r="3">
      <x v="52"/>
    </i>
    <i r="3">
      <x v="53"/>
    </i>
    <i r="3">
      <x v="54"/>
    </i>
    <i r="3">
      <x v="55"/>
    </i>
    <i r="3">
      <x v="161"/>
    </i>
    <i r="3">
      <x v="162"/>
    </i>
    <i r="3">
      <x v="163"/>
    </i>
    <i r="3">
      <x v="164"/>
    </i>
    <i r="3">
      <x v="335"/>
    </i>
    <i r="3">
      <x v="336"/>
    </i>
    <i r="3">
      <x v="337"/>
    </i>
    <i r="3">
      <x v="381"/>
    </i>
    <i r="3">
      <x v="382"/>
    </i>
    <i r="3">
      <x v="383"/>
    </i>
    <i r="3">
      <x v="384"/>
    </i>
    <i r="3">
      <x v="385"/>
    </i>
    <i r="3">
      <x v="487"/>
    </i>
    <i t="default" r="2">
      <x v="28"/>
    </i>
    <i r="2">
      <x v="48"/>
      <x v="297"/>
    </i>
    <i t="default" r="2">
      <x v="48"/>
    </i>
    <i r="2">
      <x v="67"/>
      <x v="71"/>
    </i>
    <i r="3">
      <x v="72"/>
    </i>
    <i r="3">
      <x v="398"/>
    </i>
    <i r="3">
      <x v="420"/>
    </i>
    <i r="3">
      <x v="421"/>
    </i>
    <i r="3">
      <x v="425"/>
    </i>
    <i r="3">
      <x v="426"/>
    </i>
    <i r="3">
      <x v="427"/>
    </i>
    <i r="3">
      <x v="428"/>
    </i>
    <i r="3">
      <x v="429"/>
    </i>
    <i r="3">
      <x v="430"/>
    </i>
    <i r="3">
      <x v="431"/>
    </i>
    <i r="3">
      <x v="434"/>
    </i>
    <i t="default" r="2">
      <x v="67"/>
    </i>
    <i t="default" r="1">
      <x v="14"/>
    </i>
    <i>
      <x v="16"/>
      <x v="26"/>
      <x v="49"/>
      <x v="167"/>
    </i>
    <i r="3">
      <x v="224"/>
    </i>
    <i t="default" r="2">
      <x v="49"/>
    </i>
    <i t="default" r="1">
      <x v="26"/>
    </i>
    <i>
      <x v="17"/>
      <x v="23"/>
      <x v="50"/>
      <x v="299"/>
    </i>
    <i t="default" r="2">
      <x v="50"/>
    </i>
    <i r="2">
      <x v="60"/>
      <x v="41"/>
    </i>
    <i r="3">
      <x v="105"/>
    </i>
    <i r="3">
      <x v="106"/>
    </i>
    <i r="3">
      <x v="124"/>
    </i>
    <i r="3">
      <x v="267"/>
    </i>
    <i r="3">
      <x v="368"/>
    </i>
    <i r="3">
      <x v="369"/>
    </i>
    <i r="3">
      <x v="370"/>
    </i>
    <i r="3">
      <x v="380"/>
    </i>
    <i r="3">
      <x v="396"/>
    </i>
    <i r="3">
      <x v="438"/>
    </i>
    <i t="default" r="2">
      <x v="60"/>
    </i>
    <i t="default" r="1">
      <x v="23"/>
    </i>
    <i>
      <x v="18"/>
      <x v="18"/>
      <x v="24"/>
      <x v="136"/>
    </i>
    <i t="default" r="2">
      <x v="24"/>
    </i>
    <i r="2">
      <x v="34"/>
      <x v="182"/>
    </i>
    <i t="default" r="2">
      <x v="34"/>
    </i>
    <i t="default" r="1">
      <x v="18"/>
    </i>
    <i>
      <x v="19"/>
      <x v="21"/>
      <x v="52"/>
      <x v="60"/>
    </i>
    <i r="3">
      <x v="64"/>
    </i>
    <i r="3">
      <x v="80"/>
    </i>
    <i r="3">
      <x v="122"/>
    </i>
    <i r="3">
      <x v="137"/>
    </i>
    <i r="3">
      <x v="166"/>
    </i>
    <i r="3">
      <x v="260"/>
    </i>
    <i r="3">
      <x v="261"/>
    </i>
    <i r="3">
      <x v="265"/>
    </i>
    <i r="3">
      <x v="319"/>
    </i>
    <i r="3">
      <x v="322"/>
    </i>
    <i r="3">
      <x v="445"/>
    </i>
    <i r="3">
      <x v="465"/>
    </i>
    <i r="3">
      <x v="484"/>
    </i>
    <i r="3">
      <x v="493"/>
    </i>
    <i t="default" r="2">
      <x v="52"/>
    </i>
    <i t="default" r="1">
      <x v="21"/>
    </i>
    <i>
      <x v="20"/>
      <x v="4"/>
      <x v="15"/>
      <x v="120"/>
    </i>
    <i r="3">
      <x v="149"/>
    </i>
    <i r="3">
      <x v="300"/>
    </i>
    <i t="default" r="2">
      <x v="15"/>
    </i>
    <i r="2">
      <x v="59"/>
      <x v="104"/>
    </i>
    <i r="3">
      <x v="169"/>
    </i>
    <i r="3">
      <x v="180"/>
    </i>
    <i r="3">
      <x v="223"/>
    </i>
    <i r="3">
      <x v="339"/>
    </i>
    <i r="3">
      <x v="364"/>
    </i>
    <i r="3">
      <x v="365"/>
    </i>
    <i r="3">
      <x v="366"/>
    </i>
    <i r="3">
      <x v="367"/>
    </i>
    <i t="default" r="2">
      <x v="59"/>
    </i>
    <i r="2">
      <x v="65"/>
      <x v="238"/>
    </i>
    <i t="default" r="2">
      <x v="65"/>
    </i>
    <i t="default" r="1">
      <x v="4"/>
    </i>
    <i>
      <x v="21"/>
      <x v="5"/>
      <x v="33"/>
      <x v="183"/>
    </i>
    <i r="3">
      <x v="184"/>
    </i>
    <i r="3">
      <x v="187"/>
    </i>
    <i r="3">
      <x v="198"/>
    </i>
    <i r="3">
      <x v="199"/>
    </i>
    <i r="3">
      <x v="200"/>
    </i>
    <i t="default" r="2">
      <x v="33"/>
    </i>
    <i r="2">
      <x v="43"/>
      <x v="34"/>
    </i>
    <i r="3">
      <x v="404"/>
    </i>
    <i t="default" r="2">
      <x v="43"/>
    </i>
    <i t="default" r="1">
      <x v="5"/>
    </i>
    <i>
      <x v="22"/>
      <x v="10"/>
      <x v="4"/>
      <x v="24"/>
    </i>
    <i t="default" r="2">
      <x v="4"/>
    </i>
    <i r="2">
      <x v="5"/>
      <x v="28"/>
    </i>
    <i t="default" r="2">
      <x v="5"/>
    </i>
    <i r="2">
      <x v="9"/>
      <x v="32"/>
    </i>
    <i r="3">
      <x v="33"/>
    </i>
    <i t="default" r="2">
      <x v="9"/>
    </i>
    <i r="2">
      <x v="16"/>
      <x v="78"/>
    </i>
    <i r="3">
      <x v="79"/>
    </i>
    <i t="default" r="2">
      <x v="16"/>
    </i>
    <i r="2">
      <x v="20"/>
      <x v="108"/>
    </i>
    <i t="default" r="2">
      <x v="20"/>
    </i>
    <i r="2">
      <x v="26"/>
      <x v="19"/>
    </i>
    <i r="3">
      <x v="76"/>
    </i>
    <i r="3">
      <x v="77"/>
    </i>
    <i r="3">
      <x v="130"/>
    </i>
    <i r="3">
      <x v="152"/>
    </i>
    <i r="3">
      <x v="153"/>
    </i>
    <i r="3">
      <x v="168"/>
    </i>
    <i r="3">
      <x v="193"/>
    </i>
    <i r="3">
      <x v="239"/>
    </i>
    <i r="3">
      <x v="284"/>
    </i>
    <i r="3">
      <x v="340"/>
    </i>
    <i r="3">
      <x v="345"/>
    </i>
    <i r="3">
      <x v="350"/>
    </i>
    <i r="3">
      <x v="371"/>
    </i>
    <i r="3">
      <x v="395"/>
    </i>
    <i r="3">
      <x v="410"/>
    </i>
    <i r="3">
      <x v="471"/>
    </i>
    <i t="default" r="2">
      <x v="26"/>
    </i>
    <i r="2">
      <x v="30"/>
      <x v="177"/>
    </i>
    <i t="default" r="2">
      <x v="30"/>
    </i>
    <i r="2">
      <x v="35"/>
      <x v="201"/>
    </i>
    <i t="default" r="2">
      <x v="35"/>
    </i>
    <i r="2">
      <x v="37"/>
      <x v="69"/>
    </i>
    <i r="3">
      <x v="151"/>
    </i>
    <i r="3">
      <x v="225"/>
    </i>
    <i r="3">
      <x v="295"/>
    </i>
    <i r="3">
      <x v="399"/>
    </i>
    <i r="3">
      <x v="479"/>
    </i>
    <i t="default" r="2">
      <x v="37"/>
    </i>
    <i r="2">
      <x v="38"/>
      <x v="20"/>
    </i>
    <i r="3">
      <x v="294"/>
    </i>
    <i t="default" r="2">
      <x v="38"/>
    </i>
    <i r="2">
      <x v="41"/>
      <x v="39"/>
    </i>
    <i r="3">
      <x v="249"/>
    </i>
    <i r="3">
      <x v="250"/>
    </i>
    <i r="3">
      <x v="252"/>
    </i>
    <i r="3">
      <x v="254"/>
    </i>
    <i t="default" r="2">
      <x v="41"/>
    </i>
    <i r="2">
      <x v="47"/>
      <x v="402"/>
    </i>
    <i t="default" r="2">
      <x v="47"/>
    </i>
    <i r="2">
      <x v="51"/>
      <x v="114"/>
    </i>
    <i r="3">
      <x v="121"/>
    </i>
    <i r="3">
      <x v="129"/>
    </i>
    <i r="3">
      <x v="185"/>
    </i>
    <i r="3">
      <x v="186"/>
    </i>
    <i r="3">
      <x v="188"/>
    </i>
    <i r="3">
      <x v="189"/>
    </i>
    <i r="3">
      <x v="190"/>
    </i>
    <i r="3">
      <x v="191"/>
    </i>
    <i r="3">
      <x v="192"/>
    </i>
    <i r="3">
      <x v="194"/>
    </i>
    <i r="3">
      <x v="195"/>
    </i>
    <i r="3">
      <x v="218"/>
    </i>
    <i r="3">
      <x v="221"/>
    </i>
    <i r="3">
      <x v="278"/>
    </i>
    <i r="3">
      <x v="279"/>
    </i>
    <i r="3">
      <x v="280"/>
    </i>
    <i r="3">
      <x v="281"/>
    </i>
    <i r="3">
      <x v="296"/>
    </i>
    <i r="3">
      <x v="333"/>
    </i>
    <i r="3">
      <x v="347"/>
    </i>
    <i r="3">
      <x v="480"/>
    </i>
    <i t="default" r="2">
      <x v="51"/>
    </i>
    <i r="2">
      <x v="54"/>
      <x v="160"/>
    </i>
    <i r="3">
      <x v="253"/>
    </i>
    <i t="default" r="2">
      <x v="54"/>
    </i>
    <i r="2">
      <x v="57"/>
      <x v="342"/>
    </i>
    <i t="default" r="2">
      <x v="57"/>
    </i>
    <i r="2">
      <x v="58"/>
      <x v="451"/>
    </i>
    <i r="3">
      <x v="452"/>
    </i>
    <i t="default" r="2">
      <x v="58"/>
    </i>
    <i r="2">
      <x v="66"/>
      <x v="403"/>
    </i>
    <i t="default" r="2">
      <x v="66"/>
    </i>
    <i r="2">
      <x v="72"/>
      <x v="435"/>
    </i>
    <i t="default" r="2">
      <x v="72"/>
    </i>
    <i r="2">
      <x v="77"/>
      <x v="73"/>
    </i>
    <i r="3">
      <x v="74"/>
    </i>
    <i r="3">
      <x v="439"/>
    </i>
    <i t="default" r="2">
      <x v="77"/>
    </i>
    <i t="default" r="1">
      <x v="10"/>
    </i>
    <i r="1">
      <x v="11"/>
      <x v="22"/>
      <x v="38"/>
    </i>
    <i r="3">
      <x v="45"/>
    </i>
    <i r="3">
      <x v="47"/>
    </i>
    <i r="3">
      <x v="125"/>
    </i>
    <i r="3">
      <x v="126"/>
    </i>
    <i r="3">
      <x v="128"/>
    </i>
    <i r="3">
      <x v="131"/>
    </i>
    <i r="3">
      <x v="139"/>
    </i>
    <i r="3">
      <x v="140"/>
    </i>
    <i r="3">
      <x v="437"/>
    </i>
    <i r="3">
      <x v="463"/>
    </i>
    <i t="default" r="2">
      <x v="22"/>
    </i>
    <i r="2">
      <x v="23"/>
      <x v="132"/>
    </i>
    <i t="default" r="2">
      <x v="23"/>
    </i>
    <i r="2">
      <x v="44"/>
      <x v="263"/>
    </i>
    <i r="3">
      <x v="268"/>
    </i>
    <i r="3">
      <x v="321"/>
    </i>
    <i r="3">
      <x v="446"/>
    </i>
    <i t="default" r="2">
      <x v="44"/>
    </i>
    <i r="2">
      <x v="45"/>
      <x v="65"/>
    </i>
    <i r="3">
      <x v="127"/>
    </i>
    <i r="3">
      <x v="262"/>
    </i>
    <i r="3">
      <x v="317"/>
    </i>
    <i r="3">
      <x v="318"/>
    </i>
    <i r="3">
      <x v="320"/>
    </i>
    <i r="3">
      <x v="401"/>
    </i>
    <i t="default" r="2">
      <x v="45"/>
    </i>
    <i r="2">
      <x v="53"/>
      <x v="334"/>
    </i>
    <i t="default" r="2">
      <x v="53"/>
    </i>
    <i r="2">
      <x v="55"/>
      <x v="341"/>
    </i>
    <i t="default" r="2">
      <x v="55"/>
    </i>
    <i r="2">
      <x v="56"/>
      <x v="44"/>
    </i>
    <i r="3">
      <x v="227"/>
    </i>
    <i r="3">
      <x v="228"/>
    </i>
    <i r="3">
      <x v="229"/>
    </i>
    <i r="3">
      <x v="230"/>
    </i>
    <i t="default" r="2">
      <x v="56"/>
    </i>
    <i r="2">
      <x v="64"/>
      <x v="377"/>
    </i>
    <i t="default" r="2">
      <x v="64"/>
    </i>
    <i r="2">
      <x v="68"/>
      <x v="323"/>
    </i>
    <i t="default" r="2">
      <x v="68"/>
    </i>
    <i r="2">
      <x v="80"/>
      <x v="464"/>
    </i>
    <i t="default" r="2">
      <x v="80"/>
    </i>
    <i t="default" r="1">
      <x v="11"/>
    </i>
    <i r="1">
      <x v="12"/>
      <x v="3"/>
      <x v="7"/>
    </i>
    <i t="default" r="2">
      <x v="3"/>
    </i>
    <i r="2">
      <x v="13"/>
      <x v="123"/>
    </i>
    <i t="default" r="2">
      <x v="13"/>
    </i>
    <i r="2">
      <x v="14"/>
      <x v="66"/>
    </i>
    <i t="default" r="2">
      <x v="14"/>
    </i>
    <i r="2">
      <x v="25"/>
      <x v="46"/>
    </i>
    <i t="default" r="2">
      <x v="25"/>
    </i>
    <i r="2">
      <x v="32"/>
      <x v="176"/>
    </i>
    <i t="default" r="2">
      <x v="32"/>
    </i>
    <i t="default" r="1">
      <x v="12"/>
    </i>
    <i>
      <x v="23"/>
      <x v="3"/>
      <x v="19"/>
      <x v="95"/>
    </i>
    <i r="3">
      <x v="96"/>
    </i>
    <i r="3">
      <x v="97"/>
    </i>
    <i r="3">
      <x v="98"/>
    </i>
    <i r="3">
      <x v="99"/>
    </i>
    <i r="3">
      <x v="100"/>
    </i>
    <i r="3">
      <x v="101"/>
    </i>
    <i t="default" r="2">
      <x v="19"/>
    </i>
    <i t="default" r="1">
      <x v="3"/>
    </i>
    <i r="1">
      <x v="9"/>
      <x v="42"/>
      <x v="257"/>
    </i>
    <i t="default" r="2">
      <x v="42"/>
    </i>
    <i t="default" r="1">
      <x v="9"/>
    </i>
    <i r="1">
      <x v="14"/>
      <x v="75"/>
      <x v="1"/>
    </i>
    <i r="3">
      <x v="56"/>
    </i>
    <i r="3">
      <x v="116"/>
    </i>
    <i r="3">
      <x v="147"/>
    </i>
    <i r="3">
      <x v="165"/>
    </i>
    <i r="3">
      <x v="215"/>
    </i>
    <i r="3">
      <x v="325"/>
    </i>
    <i r="3">
      <x v="440"/>
    </i>
    <i r="3">
      <x v="444"/>
    </i>
    <i r="3">
      <x v="470"/>
    </i>
    <i t="default" r="2">
      <x v="75"/>
    </i>
    <i t="default" r="1">
      <x v="14"/>
    </i>
    <i r="1">
      <x v="22"/>
      <x v="27"/>
      <x v="145"/>
    </i>
    <i t="default" r="2">
      <x v="27"/>
    </i>
    <i r="2">
      <x v="63"/>
      <x v="376"/>
    </i>
    <i t="default" r="2">
      <x v="63"/>
    </i>
    <i r="2">
      <x v="69"/>
      <x v="264"/>
    </i>
    <i r="3">
      <x v="298"/>
    </i>
    <i t="default" r="2">
      <x v="69"/>
    </i>
    <i t="default" r="1">
      <x v="22"/>
    </i>
    <i t="grand">
      <x/>
    </i>
  </rowItems>
  <colFields count="1">
    <field x="-2"/>
  </colFields>
  <colItems count="4">
    <i>
      <x/>
    </i>
    <i i="1">
      <x v="1"/>
    </i>
    <i i="2">
      <x v="2"/>
    </i>
    <i i="3">
      <x v="3"/>
    </i>
  </colItems>
  <dataFields count="4">
    <dataField name="Sum of Dr. Final 22-23" fld="6" baseField="0" baseItem="0"/>
    <dataField name="Sum of Cr. Final 22-23" fld="9" baseField="0" baseItem="0"/>
    <dataField name="Sum of Dr. Final 21-22" fld="12" baseField="0" baseItem="289"/>
    <dataField name="Sum of Cr. Final 21-22" fld="15" baseField="0" baseItem="289"/>
  </dataFields>
  <formats count="18">
    <format dxfId="20">
      <pivotArea collapsedLevelsAreSubtotals="1" fieldPosition="0">
        <references count="4">
          <reference field="0" count="6">
            <x v="88"/>
            <x v="89"/>
            <x v="90"/>
            <x v="134"/>
            <x v="135"/>
            <x v="196"/>
          </reference>
          <reference field="1" count="1" selected="0">
            <x v="1"/>
          </reference>
          <reference field="2" count="1" selected="0">
            <x v="16"/>
          </reference>
          <reference field="3" count="1" selected="0">
            <x v="7"/>
          </reference>
        </references>
      </pivotArea>
    </format>
    <format dxfId="19">
      <pivotArea collapsedLevelsAreSubtotals="1" fieldPosition="0">
        <references count="3">
          <reference field="1" count="1" selected="0">
            <x v="1"/>
          </reference>
          <reference field="2" count="1" selected="0">
            <x v="16"/>
          </reference>
          <reference field="3" count="1" defaultSubtotal="1">
            <x v="7"/>
          </reference>
        </references>
      </pivotArea>
    </format>
    <format dxfId="18">
      <pivotArea collapsedLevelsAreSubtotals="1" fieldPosition="0">
        <references count="2">
          <reference field="1" count="1" selected="0">
            <x v="1"/>
          </reference>
          <reference field="2" count="1" defaultSubtotal="1">
            <x v="16"/>
          </reference>
        </references>
      </pivotArea>
    </format>
    <format dxfId="17">
      <pivotArea collapsedLevelsAreSubtotals="1" fieldPosition="0">
        <references count="4">
          <reference field="0" count="11">
            <x v="158"/>
            <x v="174"/>
            <x v="246"/>
            <x v="351"/>
            <x v="413"/>
            <x v="441"/>
            <x v="473"/>
            <x v="474"/>
            <x v="475"/>
            <x v="476"/>
            <x v="477"/>
          </reference>
          <reference field="1" count="1" selected="0">
            <x v="2"/>
          </reference>
          <reference field="2" count="1" selected="0">
            <x v="19"/>
          </reference>
          <reference field="3" count="1" selected="0">
            <x v="0"/>
          </reference>
        </references>
      </pivotArea>
    </format>
    <format dxfId="16">
      <pivotArea collapsedLevelsAreSubtotals="1" fieldPosition="0">
        <references count="3">
          <reference field="1" count="1" selected="0">
            <x v="2"/>
          </reference>
          <reference field="2" count="1" selected="0">
            <x v="19"/>
          </reference>
          <reference field="3" count="1" defaultSubtotal="1">
            <x v="0"/>
          </reference>
        </references>
      </pivotArea>
    </format>
    <format dxfId="15">
      <pivotArea dataOnly="0" labelOnly="1" fieldPosition="0">
        <references count="1">
          <reference field="1" count="1">
            <x v="1"/>
          </reference>
        </references>
      </pivotArea>
    </format>
    <format dxfId="14">
      <pivotArea dataOnly="0" labelOnly="1" offset="IV1:IV12" fieldPosition="0">
        <references count="1">
          <reference field="1" count="1">
            <x v="2"/>
          </reference>
        </references>
      </pivotArea>
    </format>
    <format dxfId="13">
      <pivotArea dataOnly="0" labelOnly="1" fieldPosition="0">
        <references count="2">
          <reference field="1" count="1" selected="0">
            <x v="1"/>
          </reference>
          <reference field="2" count="1">
            <x v="16"/>
          </reference>
        </references>
      </pivotArea>
    </format>
    <format dxfId="12">
      <pivotArea dataOnly="0" labelOnly="1" fieldPosition="0">
        <references count="2">
          <reference field="1" count="1" selected="0">
            <x v="1"/>
          </reference>
          <reference field="2" count="1" defaultSubtotal="1">
            <x v="16"/>
          </reference>
        </references>
      </pivotArea>
    </format>
    <format dxfId="11">
      <pivotArea dataOnly="0" labelOnly="1" offset="IV1:IV12" fieldPosition="0">
        <references count="2">
          <reference field="1" count="1" selected="0">
            <x v="2"/>
          </reference>
          <reference field="2" count="1">
            <x v="19"/>
          </reference>
        </references>
      </pivotArea>
    </format>
    <format dxfId="10">
      <pivotArea dataOnly="0" labelOnly="1" fieldPosition="0">
        <references count="3">
          <reference field="1" count="1" selected="0">
            <x v="1"/>
          </reference>
          <reference field="2" count="1" selected="0">
            <x v="16"/>
          </reference>
          <reference field="3" count="1">
            <x v="7"/>
          </reference>
        </references>
      </pivotArea>
    </format>
    <format dxfId="9">
      <pivotArea dataOnly="0" labelOnly="1" fieldPosition="0">
        <references count="3">
          <reference field="1" count="1" selected="0">
            <x v="1"/>
          </reference>
          <reference field="2" count="1" selected="0">
            <x v="16"/>
          </reference>
          <reference field="3" count="1" defaultSubtotal="1">
            <x v="7"/>
          </reference>
        </references>
      </pivotArea>
    </format>
    <format dxfId="8">
      <pivotArea dataOnly="0" labelOnly="1" fieldPosition="0">
        <references count="3">
          <reference field="1" count="1" selected="0">
            <x v="2"/>
          </reference>
          <reference field="2" count="1" selected="0">
            <x v="19"/>
          </reference>
          <reference field="3" count="1">
            <x v="0"/>
          </reference>
        </references>
      </pivotArea>
    </format>
    <format dxfId="7">
      <pivotArea dataOnly="0" labelOnly="1" fieldPosition="0">
        <references count="3">
          <reference field="1" count="1" selected="0">
            <x v="2"/>
          </reference>
          <reference field="2" count="1" selected="0">
            <x v="19"/>
          </reference>
          <reference field="3" count="1" defaultSubtotal="1">
            <x v="0"/>
          </reference>
        </references>
      </pivotArea>
    </format>
    <format dxfId="6">
      <pivotArea dataOnly="0" labelOnly="1" fieldPosition="0">
        <references count="4">
          <reference field="0" count="6">
            <x v="88"/>
            <x v="89"/>
            <x v="90"/>
            <x v="134"/>
            <x v="135"/>
            <x v="196"/>
          </reference>
          <reference field="1" count="1" selected="0">
            <x v="1"/>
          </reference>
          <reference field="2" count="1" selected="0">
            <x v="16"/>
          </reference>
          <reference field="3" count="1" selected="0">
            <x v="7"/>
          </reference>
        </references>
      </pivotArea>
    </format>
    <format dxfId="5">
      <pivotArea dataOnly="0" labelOnly="1" fieldPosition="0">
        <references count="4">
          <reference field="0" count="11">
            <x v="158"/>
            <x v="174"/>
            <x v="246"/>
            <x v="351"/>
            <x v="413"/>
            <x v="441"/>
            <x v="473"/>
            <x v="474"/>
            <x v="475"/>
            <x v="476"/>
            <x v="477"/>
          </reference>
          <reference field="1" count="1" selected="0">
            <x v="2"/>
          </reference>
          <reference field="2" count="1" selected="0">
            <x v="19"/>
          </reference>
          <reference field="3" count="1" selected="0">
            <x v="0"/>
          </reference>
        </references>
      </pivotArea>
    </format>
    <format dxfId="4">
      <pivotArea collapsedLevelsAreSubtotals="1" fieldPosition="0">
        <references count="5">
          <reference field="4294967294" count="1" selected="0">
            <x v="0"/>
          </reference>
          <reference field="0" count="1">
            <x v="135"/>
          </reference>
          <reference field="1" count="1" selected="0">
            <x v="1"/>
          </reference>
          <reference field="2" count="1" selected="0">
            <x v="16"/>
          </reference>
          <reference field="3" count="1" selected="0">
            <x v="7"/>
          </reference>
        </references>
      </pivotArea>
    </format>
    <format dxfId="3">
      <pivotArea collapsedLevelsAreSubtotals="1" fieldPosition="0">
        <references count="5">
          <reference field="4294967294" count="1" selected="0">
            <x v="0"/>
          </reference>
          <reference field="0" count="6">
            <x v="158"/>
            <x v="174"/>
            <x v="246"/>
            <x v="351"/>
            <x v="413"/>
            <x v="441"/>
          </reference>
          <reference field="1" count="1" selected="0">
            <x v="2"/>
          </reference>
          <reference field="2" count="1" selected="0">
            <x v="19"/>
          </reference>
          <reference field="3"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R66"/>
  <sheetViews>
    <sheetView topLeftCell="A28" zoomScaleNormal="100" workbookViewId="0">
      <selection activeCell="H40" sqref="H40"/>
    </sheetView>
  </sheetViews>
  <sheetFormatPr defaultColWidth="9.109375" defaultRowHeight="13.8"/>
  <cols>
    <col min="1" max="1" width="9.109375" style="1605"/>
    <col min="2" max="2" width="7.6640625" style="1603" customWidth="1"/>
    <col min="3" max="3" width="33.44140625" style="1605" bestFit="1" customWidth="1"/>
    <col min="4" max="4" width="13.88671875" style="1605" customWidth="1"/>
    <col min="5" max="5" width="14.109375" style="1605" customWidth="1"/>
    <col min="6" max="6" width="9.109375" style="1605"/>
    <col min="7" max="7" width="27.5546875" style="1605" customWidth="1"/>
    <col min="8" max="8" width="31.109375" style="1605" customWidth="1"/>
    <col min="9" max="9" width="27.109375" style="1605" bestFit="1" customWidth="1"/>
    <col min="10" max="11" width="9.109375" style="1605"/>
    <col min="12" max="13" width="14.33203125" style="1605" customWidth="1"/>
    <col min="14" max="14" width="9.109375" style="1605"/>
    <col min="15" max="16" width="15.88671875" style="1605" customWidth="1"/>
    <col min="17" max="16384" width="9.109375" style="1605"/>
  </cols>
  <sheetData>
    <row r="1" spans="2:16" ht="14.4" thickBot="1"/>
    <row r="2" spans="2:16" ht="18.600000000000001" thickBot="1">
      <c r="B2" s="1754" t="s">
        <v>785</v>
      </c>
      <c r="C2" s="1755"/>
      <c r="D2" s="1755"/>
      <c r="E2" s="1755"/>
      <c r="F2" s="1755"/>
      <c r="G2" s="1756"/>
      <c r="H2" s="1755"/>
      <c r="I2" s="1755"/>
      <c r="L2" s="1755"/>
      <c r="M2" s="1755"/>
      <c r="O2" s="1755"/>
      <c r="P2" s="1755"/>
    </row>
    <row r="3" spans="2:16" ht="18.600000000000001" thickBot="1">
      <c r="B3" s="1754" t="s">
        <v>2241</v>
      </c>
      <c r="C3" s="1755"/>
      <c r="D3" s="1755"/>
      <c r="E3" s="1755"/>
      <c r="F3" s="1755"/>
      <c r="G3" s="1756"/>
      <c r="H3" s="1755"/>
      <c r="I3" s="1755"/>
      <c r="L3" s="1755"/>
      <c r="M3" s="1755"/>
      <c r="O3" s="1755"/>
      <c r="P3" s="1755"/>
    </row>
    <row r="4" spans="2:16" ht="18">
      <c r="B4" s="1666" t="s">
        <v>3057</v>
      </c>
      <c r="C4" s="1665"/>
      <c r="D4" s="1529"/>
      <c r="E4" s="1529"/>
      <c r="F4" s="1529"/>
      <c r="G4" s="1530"/>
      <c r="H4" s="1529"/>
      <c r="I4" s="1529"/>
      <c r="L4" s="1529"/>
      <c r="M4" s="1529"/>
      <c r="O4" s="1529"/>
      <c r="P4" s="1529"/>
    </row>
    <row r="5" spans="2:16" s="1604" customFormat="1">
      <c r="B5" s="1667"/>
      <c r="C5" s="1607" t="s">
        <v>2971</v>
      </c>
      <c r="D5" s="1664">
        <v>45016</v>
      </c>
      <c r="E5" s="1664">
        <v>44651</v>
      </c>
      <c r="F5" s="1606" t="s">
        <v>3055</v>
      </c>
      <c r="G5" s="1668" t="s">
        <v>3056</v>
      </c>
      <c r="H5" s="1606" t="s">
        <v>2972</v>
      </c>
      <c r="I5" s="1606" t="s">
        <v>2974</v>
      </c>
      <c r="L5" s="1606" t="s">
        <v>3054</v>
      </c>
      <c r="M5" s="1606" t="s">
        <v>2973</v>
      </c>
      <c r="O5" s="1606" t="s">
        <v>3054</v>
      </c>
      <c r="P5" s="1606" t="s">
        <v>2973</v>
      </c>
    </row>
    <row r="6" spans="2:16">
      <c r="B6" s="1669"/>
      <c r="C6" s="1608"/>
      <c r="D6" s="1656"/>
      <c r="E6" s="1662"/>
      <c r="F6" s="1608"/>
      <c r="G6" s="1670"/>
      <c r="H6" s="1608"/>
      <c r="I6" s="1608"/>
      <c r="L6" s="1609"/>
      <c r="M6" s="1609"/>
      <c r="O6" s="1610"/>
      <c r="P6" s="1610"/>
    </row>
    <row r="7" spans="2:16" ht="41.4">
      <c r="B7" s="1669">
        <v>1</v>
      </c>
      <c r="C7" s="1611" t="s">
        <v>2975</v>
      </c>
      <c r="D7" s="1657">
        <f>L17/O17</f>
        <v>0.96353768576759735</v>
      </c>
      <c r="E7" s="1622">
        <f>M17/P17</f>
        <v>1.3252690905607409</v>
      </c>
      <c r="F7" s="1663">
        <f>+(E7-D7)/E7</f>
        <v>0.27294940127222744</v>
      </c>
      <c r="G7" s="1743" t="s">
        <v>3115</v>
      </c>
      <c r="H7" s="1612" t="s">
        <v>2183</v>
      </c>
      <c r="I7" s="1612" t="s">
        <v>2184</v>
      </c>
      <c r="L7" s="1613"/>
      <c r="M7" s="1613"/>
      <c r="O7" s="1614"/>
      <c r="P7" s="1614"/>
    </row>
    <row r="8" spans="2:16">
      <c r="B8" s="1669"/>
      <c r="C8" s="1623"/>
      <c r="D8" s="1659"/>
      <c r="E8" s="1625"/>
      <c r="F8" s="1608"/>
      <c r="G8" s="1670"/>
      <c r="H8" s="1616"/>
      <c r="I8" s="1616"/>
      <c r="L8" s="1617">
        <f>+BSPL!G15</f>
        <v>62662680.8336384</v>
      </c>
      <c r="M8" s="1617">
        <f>+BSPL!H15</f>
        <v>51593267</v>
      </c>
      <c r="O8" s="1618">
        <f>+BSPL!G40</f>
        <v>91597921.990151003</v>
      </c>
      <c r="P8" s="1618">
        <f>+BSPL!H40</f>
        <v>87356478.839999989</v>
      </c>
    </row>
    <row r="9" spans="2:16" ht="41.4">
      <c r="B9" s="1669">
        <v>2</v>
      </c>
      <c r="C9" s="1611" t="s">
        <v>2990</v>
      </c>
      <c r="D9" s="1746">
        <f>L20/O20</f>
        <v>1.3694811129557956</v>
      </c>
      <c r="E9" s="1747">
        <f>M20/P20</f>
        <v>0.86335345048413903</v>
      </c>
      <c r="F9" s="1748">
        <f>+(E9-D9)/E9</f>
        <v>-0.58623459741527351</v>
      </c>
      <c r="G9" s="1749" t="s">
        <v>3116</v>
      </c>
      <c r="H9" s="1611" t="s">
        <v>2991</v>
      </c>
      <c r="I9" s="1611" t="s">
        <v>2992</v>
      </c>
      <c r="L9" s="1619">
        <f>+BSPL!G17</f>
        <v>115802242.14</v>
      </c>
      <c r="M9" s="1619">
        <f>+BSPL!H17</f>
        <v>166554746.43000001</v>
      </c>
      <c r="O9" s="1614">
        <f>+BSPL!G408+BSPL!G409</f>
        <v>23000016</v>
      </c>
      <c r="P9" s="1614">
        <f>+BSPL!H408+BSPL!H409</f>
        <v>20366672</v>
      </c>
    </row>
    <row r="10" spans="2:16">
      <c r="B10" s="1669"/>
      <c r="C10" s="1611"/>
      <c r="D10" s="1660"/>
      <c r="E10" s="1625"/>
      <c r="F10" s="1608"/>
      <c r="G10" s="1670"/>
      <c r="H10" s="1616"/>
      <c r="I10" s="1616"/>
      <c r="L10" s="1619">
        <f>+BSPL!G18</f>
        <v>239775.64</v>
      </c>
      <c r="M10" s="1619">
        <f>+BSPL!H18</f>
        <v>79146.64</v>
      </c>
      <c r="O10" s="1614"/>
      <c r="P10" s="1614"/>
    </row>
    <row r="11" spans="2:16">
      <c r="B11" s="1669"/>
      <c r="C11" s="1611"/>
      <c r="D11" s="1659"/>
      <c r="E11" s="1625"/>
      <c r="F11" s="1608"/>
      <c r="G11" s="1670"/>
      <c r="H11" s="1616"/>
      <c r="I11" s="1616"/>
      <c r="L11" s="1619">
        <f>+BSPL!G288+BSPL!G289</f>
        <v>398175</v>
      </c>
      <c r="M11" s="1619">
        <f>+BSPL!H288+BSPL!H289</f>
        <v>780048</v>
      </c>
      <c r="O11" s="1614">
        <f>+BSPL!G412</f>
        <v>78274677.280000001</v>
      </c>
      <c r="P11" s="1614">
        <f>+BSPL!H412</f>
        <v>56842407.57</v>
      </c>
    </row>
    <row r="12" spans="2:16" ht="27.6">
      <c r="B12" s="1669">
        <v>3</v>
      </c>
      <c r="C12" s="1611" t="s">
        <v>2995</v>
      </c>
      <c r="D12" s="1657">
        <f>L24/O24</f>
        <v>-0.94359742436735006</v>
      </c>
      <c r="E12" s="1622">
        <f>M24/P24</f>
        <v>4.611603533552759</v>
      </c>
      <c r="F12" s="1663">
        <f>+(E12-D12)/E12</f>
        <v>1.2046137352228989</v>
      </c>
      <c r="G12" s="1743" t="s">
        <v>3117</v>
      </c>
      <c r="H12" s="1612" t="s">
        <v>2996</v>
      </c>
      <c r="I12" s="1612" t="s">
        <v>2997</v>
      </c>
      <c r="L12" s="1619">
        <f>+BSPL!G282</f>
        <v>344000</v>
      </c>
      <c r="M12" s="1619">
        <f>+BSPL!H282</f>
        <v>345500</v>
      </c>
      <c r="O12" s="1614"/>
      <c r="P12" s="1614"/>
    </row>
    <row r="13" spans="2:16">
      <c r="B13" s="1669"/>
      <c r="C13" s="1611"/>
      <c r="D13" s="1660"/>
      <c r="E13" s="1625"/>
      <c r="F13" s="1608"/>
      <c r="G13" s="1670"/>
      <c r="H13" s="1616"/>
      <c r="I13" s="1616"/>
      <c r="L13" s="1619"/>
      <c r="M13" s="1619"/>
      <c r="O13" s="1614"/>
      <c r="P13" s="1614"/>
    </row>
    <row r="14" spans="2:16">
      <c r="B14" s="1669"/>
      <c r="C14" s="1611"/>
      <c r="D14" s="1660"/>
      <c r="E14" s="1625"/>
      <c r="F14" s="1608"/>
      <c r="G14" s="1670"/>
      <c r="H14" s="1616"/>
      <c r="I14" s="1616"/>
      <c r="L14" s="1619">
        <f>+BSPL!G286+BSPL!G287+BSPL!G284-'Ratio Analysis (2)'!L12</f>
        <v>16722009</v>
      </c>
      <c r="M14" s="1619">
        <f>+BSPL!H286+BSPL!H287+BSPL!H284-'Ratio Analysis (2)'!M12</f>
        <v>13492689.02</v>
      </c>
      <c r="O14" s="1614">
        <f>+BSPL!G43</f>
        <v>2009575</v>
      </c>
      <c r="P14" s="1614">
        <f>+BSPL!H43</f>
        <v>3410536</v>
      </c>
    </row>
    <row r="15" spans="2:16" ht="27.6">
      <c r="B15" s="1669">
        <v>4</v>
      </c>
      <c r="C15" s="1611" t="s">
        <v>3001</v>
      </c>
      <c r="D15" s="1661">
        <f>L28/O28</f>
        <v>-0.14820010927745036</v>
      </c>
      <c r="E15" s="1629">
        <f>M28/P28</f>
        <v>1.4127997271611896E-2</v>
      </c>
      <c r="F15" s="1663">
        <f>+(E15-D15)/E15</f>
        <v>11.489817235117705</v>
      </c>
      <c r="G15" s="1743" t="s">
        <v>3117</v>
      </c>
      <c r="H15" s="1612" t="s">
        <v>3002</v>
      </c>
      <c r="I15" s="1612" t="s">
        <v>3003</v>
      </c>
      <c r="L15" s="1619"/>
      <c r="M15" s="1619"/>
      <c r="O15" s="1614"/>
      <c r="P15" s="1614"/>
    </row>
    <row r="16" spans="2:16">
      <c r="B16" s="1669"/>
      <c r="C16" s="1611"/>
      <c r="D16" s="1659"/>
      <c r="E16" s="1625"/>
      <c r="F16" s="1608"/>
      <c r="G16" s="1670"/>
      <c r="H16" s="1616"/>
      <c r="I16" s="1616"/>
      <c r="L16" s="1619"/>
      <c r="M16" s="1619"/>
      <c r="O16" s="1614">
        <f>+BSPL!G41+BSPL!G42</f>
        <v>8710139.8599999994</v>
      </c>
      <c r="P16" s="1614">
        <f>+BSPL!H41+BSPL!H42</f>
        <v>7720598.9999999991</v>
      </c>
    </row>
    <row r="17" spans="2:16">
      <c r="B17" s="1669">
        <v>5</v>
      </c>
      <c r="C17" s="1611" t="s">
        <v>3006</v>
      </c>
      <c r="D17" s="1657">
        <f>L33/O33</f>
        <v>28.083283549137033</v>
      </c>
      <c r="E17" s="1622">
        <f>M33/P33</f>
        <v>26.483116961073108</v>
      </c>
      <c r="F17" s="1663">
        <f>+(E17-D17)/E17</f>
        <v>-6.0422139524436286E-2</v>
      </c>
      <c r="G17" s="1671">
        <v>0</v>
      </c>
      <c r="H17" s="1612" t="s">
        <v>3007</v>
      </c>
      <c r="I17" s="1612" t="s">
        <v>3008</v>
      </c>
      <c r="L17" s="1621">
        <f>SUM(L8:L15)</f>
        <v>196168882.6136384</v>
      </c>
      <c r="M17" s="1621">
        <f>SUM(M8:M15)</f>
        <v>232845397.09</v>
      </c>
      <c r="O17" s="1621">
        <f>SUM(O8:O16)</f>
        <v>203592330.13015103</v>
      </c>
      <c r="P17" s="1621">
        <f>SUM(P8:P16)</f>
        <v>175696693.41</v>
      </c>
    </row>
    <row r="18" spans="2:16">
      <c r="B18" s="1669"/>
      <c r="C18" s="1611"/>
      <c r="D18" s="1659"/>
      <c r="E18" s="1625"/>
      <c r="F18" s="1608"/>
      <c r="G18" s="1671"/>
      <c r="H18" s="1616"/>
      <c r="I18" s="1616"/>
      <c r="L18" s="1621"/>
      <c r="M18" s="1621"/>
      <c r="O18" s="1624"/>
      <c r="P18" s="1624"/>
    </row>
    <row r="19" spans="2:16" s="1750" customFormat="1">
      <c r="B19" s="1669">
        <v>6</v>
      </c>
      <c r="C19" s="1611" t="s">
        <v>3011</v>
      </c>
      <c r="D19" s="1657">
        <f>L37/O37</f>
        <v>7.4538102120260907</v>
      </c>
      <c r="E19" s="1622">
        <f>M37/P37</f>
        <v>6.9746814306236669</v>
      </c>
      <c r="F19" s="1663">
        <f>+(E19-D19)/E19</f>
        <v>-6.8695435937578125E-2</v>
      </c>
      <c r="G19" s="1671">
        <v>0</v>
      </c>
      <c r="H19" s="1612" t="s">
        <v>3012</v>
      </c>
      <c r="I19" s="1612" t="s">
        <v>3013</v>
      </c>
      <c r="L19" s="1744"/>
      <c r="M19" s="1744"/>
      <c r="O19" s="1745"/>
      <c r="P19" s="1745"/>
    </row>
    <row r="20" spans="2:16">
      <c r="B20" s="1669"/>
      <c r="C20" s="1611"/>
      <c r="D20" s="1659"/>
      <c r="E20" s="1625"/>
      <c r="F20" s="1608"/>
      <c r="G20" s="1671"/>
      <c r="H20" s="1616"/>
      <c r="I20" s="1616"/>
      <c r="L20" s="1621">
        <f>+BSPL!G45-BSPL!G30</f>
        <v>323126181.83879948</v>
      </c>
      <c r="M20" s="1621">
        <f>+BSPL!H45-BSPL!H30</f>
        <v>235889010.05987358</v>
      </c>
      <c r="O20" s="1627">
        <f>+BSPL!G30</f>
        <v>235947892.07525888</v>
      </c>
      <c r="P20" s="1627">
        <f>+BSPL!H30</f>
        <v>273224146.99054611</v>
      </c>
    </row>
    <row r="21" spans="2:16">
      <c r="B21" s="1669">
        <v>7</v>
      </c>
      <c r="C21" s="1611" t="s">
        <v>3017</v>
      </c>
      <c r="D21" s="1657">
        <f>L41/O41</f>
        <v>9.2333545491752176</v>
      </c>
      <c r="E21" s="1622">
        <f>M41/P41</f>
        <v>10.162283695540484</v>
      </c>
      <c r="F21" s="1663">
        <f>+(E21-D21)/E21</f>
        <v>9.1409487689554342E-2</v>
      </c>
      <c r="G21" s="1671">
        <v>0</v>
      </c>
      <c r="H21" s="1612" t="s">
        <v>3018</v>
      </c>
      <c r="I21" s="1612" t="s">
        <v>3019</v>
      </c>
      <c r="L21" s="1621"/>
      <c r="M21" s="1621"/>
      <c r="O21" s="1627"/>
      <c r="P21" s="1627"/>
    </row>
    <row r="22" spans="2:16">
      <c r="B22" s="1669"/>
      <c r="C22" s="1611"/>
      <c r="D22" s="1659"/>
      <c r="E22" s="1625"/>
      <c r="F22" s="1608"/>
      <c r="G22" s="1670"/>
      <c r="H22" s="1616"/>
      <c r="I22" s="1616"/>
      <c r="L22" s="1621"/>
      <c r="M22" s="1621"/>
      <c r="O22" s="1624"/>
      <c r="P22" s="1624"/>
    </row>
    <row r="23" spans="2:16" ht="41.4">
      <c r="B23" s="1669">
        <v>8</v>
      </c>
      <c r="C23" s="1611" t="s">
        <v>3022</v>
      </c>
      <c r="D23" s="1657">
        <f>L45/O45</f>
        <v>-141.7559294491187</v>
      </c>
      <c r="E23" s="1622">
        <f>M45/P45</f>
        <v>19.668364081255042</v>
      </c>
      <c r="F23" s="1663">
        <f>+(E23-D23)/E23</f>
        <v>8.2073065590757164</v>
      </c>
      <c r="G23" s="1743" t="s">
        <v>3115</v>
      </c>
      <c r="H23" s="1612" t="s">
        <v>3023</v>
      </c>
      <c r="I23" s="1612" t="s">
        <v>3024</v>
      </c>
      <c r="L23" s="1626"/>
      <c r="M23" s="1626"/>
      <c r="O23" s="1614"/>
      <c r="P23" s="1614"/>
    </row>
    <row r="24" spans="2:16">
      <c r="B24" s="1669"/>
      <c r="C24" s="1611"/>
      <c r="D24" s="1659"/>
      <c r="E24" s="1620"/>
      <c r="F24" s="1608"/>
      <c r="G24" s="1670"/>
      <c r="H24" s="1616"/>
      <c r="I24" s="1616"/>
      <c r="L24" s="1621">
        <f>+BSPL!G99+BSPL!G85+BSPL!G86</f>
        <v>-11060367.915287264</v>
      </c>
      <c r="M24" s="1621">
        <f>+BSPL!H99+BSPL!H85+BSPL!H86</f>
        <v>29385990.631871711</v>
      </c>
      <c r="O24" s="1614">
        <f>+[70]BSPL!G86+'[70]Bank TL &amp; Int.'!F6</f>
        <v>11721490.15</v>
      </c>
      <c r="P24" s="1614">
        <f>+[70]BSPL!H86+'[70]Bank TL &amp; Int.'!G6</f>
        <v>6372184.9500000002</v>
      </c>
    </row>
    <row r="25" spans="2:16" ht="27.6">
      <c r="B25" s="1669">
        <v>9</v>
      </c>
      <c r="C25" s="1611" t="s">
        <v>3027</v>
      </c>
      <c r="D25" s="1661">
        <f>L49/O49</f>
        <v>-3.5853883127235114E-2</v>
      </c>
      <c r="E25" s="1629">
        <f>M49/P49</f>
        <v>3.4032168903900557E-3</v>
      </c>
      <c r="F25" s="1663">
        <f>+(E25-D25)/E25</f>
        <v>11.535291837695882</v>
      </c>
      <c r="G25" s="1743" t="s">
        <v>3117</v>
      </c>
      <c r="H25" s="1612" t="s">
        <v>3028</v>
      </c>
      <c r="I25" s="1612" t="s">
        <v>3023</v>
      </c>
      <c r="L25" s="1621"/>
      <c r="M25" s="1621"/>
      <c r="O25" s="1627"/>
      <c r="P25" s="1627"/>
    </row>
    <row r="26" spans="2:16">
      <c r="B26" s="1669"/>
      <c r="C26" s="1611"/>
      <c r="D26" s="1659"/>
      <c r="E26" s="1620"/>
      <c r="F26" s="1608"/>
      <c r="G26" s="1670"/>
      <c r="H26" s="1616"/>
      <c r="I26" s="1616"/>
      <c r="L26" s="1621"/>
      <c r="M26" s="1621"/>
      <c r="O26" s="1627"/>
      <c r="P26" s="1627"/>
    </row>
    <row r="27" spans="2:16" ht="27.6">
      <c r="B27" s="1752">
        <v>10</v>
      </c>
      <c r="C27" s="1612" t="s">
        <v>3030</v>
      </c>
      <c r="D27" s="1661">
        <f>L53/O53</f>
        <v>-0.11613773712339166</v>
      </c>
      <c r="E27" s="1629">
        <f>M53/P53</f>
        <v>3.2152073413616998E-2</v>
      </c>
      <c r="F27" s="1753">
        <f>+(E27-D27)/E27</f>
        <v>4.6121383411063368</v>
      </c>
      <c r="G27" s="1751" t="s">
        <v>3117</v>
      </c>
      <c r="H27" s="1612" t="s">
        <v>3031</v>
      </c>
      <c r="I27" s="1612" t="s">
        <v>3032</v>
      </c>
      <c r="K27" s="1628"/>
      <c r="L27" s="1613"/>
      <c r="M27" s="1613"/>
      <c r="O27" s="1614"/>
      <c r="P27" s="1614"/>
    </row>
    <row r="28" spans="2:16" ht="14.4" thickBot="1">
      <c r="B28" s="1674"/>
      <c r="C28" s="1675"/>
      <c r="D28" s="1679"/>
      <c r="E28" s="1680"/>
      <c r="F28" s="1681"/>
      <c r="G28" s="1682"/>
      <c r="H28" s="1676"/>
      <c r="I28" s="1676"/>
      <c r="K28" s="1628"/>
      <c r="L28" s="1619">
        <f>+BSPL!G99</f>
        <v>-37729675.915287264</v>
      </c>
      <c r="M28" s="1619">
        <f>+BSPL!H99</f>
        <v>3825288.9905461473</v>
      </c>
      <c r="O28" s="1614">
        <f>+(BSPL!H30+BSPL!G30)/2</f>
        <v>254586019.53290248</v>
      </c>
      <c r="P28" s="1614">
        <v>270759465.5494799</v>
      </c>
    </row>
    <row r="29" spans="2:16">
      <c r="B29" s="1634">
        <v>11</v>
      </c>
      <c r="C29" s="1635" t="s">
        <v>3035</v>
      </c>
      <c r="D29" s="1638"/>
      <c r="E29" s="1639"/>
      <c r="F29" s="1640"/>
      <c r="G29" s="1641"/>
      <c r="H29" s="1636" t="s">
        <v>3036</v>
      </c>
      <c r="I29" s="1636" t="s">
        <v>3037</v>
      </c>
      <c r="L29" s="1621"/>
      <c r="M29" s="1621"/>
      <c r="O29" s="1624"/>
      <c r="P29" s="1624"/>
    </row>
    <row r="30" spans="2:16">
      <c r="B30" s="1644"/>
      <c r="C30" s="1631"/>
      <c r="D30" s="1648"/>
      <c r="E30" s="1648"/>
      <c r="H30" s="1645"/>
      <c r="I30" s="1645"/>
      <c r="L30" s="1608"/>
      <c r="M30" s="1608"/>
      <c r="O30" s="1624"/>
      <c r="P30" s="1624"/>
    </row>
    <row r="31" spans="2:16">
      <c r="C31" s="1649"/>
      <c r="L31" s="1621"/>
      <c r="M31" s="1621"/>
      <c r="O31" s="1624"/>
      <c r="P31" s="1624"/>
    </row>
    <row r="32" spans="2:16">
      <c r="B32" s="1650"/>
      <c r="C32" s="1632" t="s">
        <v>3038</v>
      </c>
      <c r="L32" s="1626"/>
      <c r="M32" s="1626"/>
      <c r="O32" s="1624"/>
      <c r="P32" s="1624"/>
    </row>
    <row r="33" spans="2:18">
      <c r="L33" s="1621">
        <f>+BSPL!G81</f>
        <v>815123705.66636157</v>
      </c>
      <c r="M33" s="1621">
        <f>+BSPL!H81</f>
        <v>866942160.29999995</v>
      </c>
      <c r="O33" s="1624">
        <f>+(BSPL!H237+BSPL!G237)/2</f>
        <v>29025227.9168192</v>
      </c>
      <c r="P33" s="1655">
        <v>32735654.25</v>
      </c>
    </row>
    <row r="34" spans="2:18">
      <c r="C34" s="1605" t="s">
        <v>3039</v>
      </c>
      <c r="L34" s="1621"/>
      <c r="M34" s="1621"/>
      <c r="O34" s="1624"/>
      <c r="P34" s="1624"/>
    </row>
    <row r="35" spans="2:18">
      <c r="C35" s="1605" t="s">
        <v>3040</v>
      </c>
      <c r="L35" s="1621"/>
      <c r="M35" s="1621"/>
      <c r="O35" s="1624"/>
      <c r="P35" s="1624"/>
    </row>
    <row r="36" spans="2:18">
      <c r="C36" s="1605" t="s">
        <v>3041</v>
      </c>
      <c r="L36" s="1626"/>
      <c r="M36" s="1626"/>
      <c r="O36" s="1624"/>
      <c r="P36" s="1624"/>
      <c r="R36" s="1605" t="s">
        <v>3014</v>
      </c>
    </row>
    <row r="37" spans="2:18">
      <c r="L37" s="1621">
        <f>+BSPL!G77</f>
        <v>1052317702.4200001</v>
      </c>
      <c r="M37" s="1621">
        <f>+BSPL!H77</f>
        <v>1124021510.75</v>
      </c>
      <c r="O37" s="1624">
        <f>+(BSPL!H17+BSPL!G17)/2</f>
        <v>141178494.285</v>
      </c>
      <c r="P37" s="1655">
        <v>161157397.93000001</v>
      </c>
    </row>
    <row r="38" spans="2:18">
      <c r="B38" s="1603" t="s">
        <v>3042</v>
      </c>
      <c r="C38" s="1605" t="s">
        <v>3043</v>
      </c>
      <c r="L38" s="1626"/>
      <c r="M38" s="1626"/>
      <c r="O38" s="1624"/>
      <c r="P38" s="1624"/>
    </row>
    <row r="39" spans="2:18">
      <c r="C39" s="1651" t="s">
        <v>3044</v>
      </c>
      <c r="L39" s="1621"/>
      <c r="M39" s="1621"/>
      <c r="O39" s="1624"/>
      <c r="P39" s="1624"/>
    </row>
    <row r="40" spans="2:18">
      <c r="C40" s="1653" t="s">
        <v>3045</v>
      </c>
      <c r="L40" s="1626"/>
      <c r="M40" s="1626"/>
      <c r="O40" s="1624"/>
      <c r="P40" s="1624"/>
    </row>
    <row r="41" spans="2:18">
      <c r="L41" s="1621">
        <f>+BSPL!G481</f>
        <v>826174715.5</v>
      </c>
      <c r="M41" s="1621">
        <f>+BSPL!H481</f>
        <v>848470297.79999995</v>
      </c>
      <c r="O41" s="1624">
        <f>+(BSPL!H40+BSPL!G40)/2</f>
        <v>89477200.415075496</v>
      </c>
      <c r="P41" s="1655">
        <v>83492089.299999982</v>
      </c>
    </row>
    <row r="42" spans="2:18">
      <c r="C42" s="1605" t="s">
        <v>3046</v>
      </c>
      <c r="L42" s="1626"/>
      <c r="M42" s="1626"/>
      <c r="O42" s="1624"/>
      <c r="P42" s="1624"/>
    </row>
    <row r="43" spans="2:18">
      <c r="C43" s="1654" t="s">
        <v>3047</v>
      </c>
      <c r="L43" s="1621"/>
      <c r="M43" s="1621"/>
      <c r="O43" s="1624"/>
      <c r="P43" s="1624"/>
    </row>
    <row r="44" spans="2:18">
      <c r="C44" s="1654" t="s">
        <v>3048</v>
      </c>
      <c r="J44" s="1633"/>
      <c r="K44" s="1632"/>
      <c r="L44" s="1626"/>
      <c r="M44" s="1626"/>
      <c r="O44" s="1624"/>
      <c r="P44" s="1624"/>
    </row>
    <row r="45" spans="2:18">
      <c r="C45" s="1654" t="s">
        <v>3049</v>
      </c>
      <c r="J45" s="1633"/>
      <c r="K45" s="1628"/>
      <c r="L45" s="1621">
        <f>+BSPL!G77</f>
        <v>1052317702.4200001</v>
      </c>
      <c r="M45" s="1621">
        <f>+BSPL!H77</f>
        <v>1124021510.75</v>
      </c>
      <c r="O45" s="1624">
        <f>+L17-O17</f>
        <v>-7423447.5165126324</v>
      </c>
      <c r="P45" s="1624">
        <f>+M17-P17</f>
        <v>57148703.680000007</v>
      </c>
    </row>
    <row r="46" spans="2:18">
      <c r="C46" s="1654" t="s">
        <v>3050</v>
      </c>
      <c r="L46" s="1626"/>
      <c r="M46" s="1626"/>
      <c r="O46" s="1624"/>
      <c r="P46" s="1624"/>
    </row>
    <row r="47" spans="2:18">
      <c r="C47" s="1654" t="s">
        <v>3051</v>
      </c>
      <c r="L47" s="1621"/>
      <c r="M47" s="1621"/>
      <c r="O47" s="1624"/>
      <c r="P47" s="1624"/>
    </row>
    <row r="48" spans="2:18">
      <c r="C48" s="1654" t="s">
        <v>3052</v>
      </c>
      <c r="L48" s="1626"/>
      <c r="M48" s="1626"/>
      <c r="O48" s="1624"/>
      <c r="P48" s="1624"/>
    </row>
    <row r="49" spans="2:16">
      <c r="C49" s="1605" t="s">
        <v>3053</v>
      </c>
      <c r="L49" s="1626">
        <f>+BSPL!G99</f>
        <v>-37729675.915287264</v>
      </c>
      <c r="M49" s="1626">
        <f>+BSPL!H99</f>
        <v>3825288.9905461473</v>
      </c>
      <c r="O49" s="1624">
        <f>+BSPL!G77</f>
        <v>1052317702.4200001</v>
      </c>
      <c r="P49" s="1624">
        <f>+BSPL!H77</f>
        <v>1124021510.75</v>
      </c>
    </row>
    <row r="50" spans="2:16">
      <c r="L50" s="1626"/>
      <c r="M50" s="1626"/>
      <c r="O50" s="1624"/>
      <c r="P50" s="1624"/>
    </row>
    <row r="51" spans="2:16">
      <c r="L51" s="1621"/>
      <c r="M51" s="1621"/>
      <c r="O51" s="1624"/>
      <c r="P51" s="1624"/>
    </row>
    <row r="52" spans="2:16" s="1628" customFormat="1">
      <c r="B52" s="1603"/>
      <c r="C52" s="1605"/>
      <c r="D52" s="1605"/>
      <c r="E52" s="1605"/>
      <c r="F52" s="1605"/>
      <c r="G52" s="1605"/>
      <c r="H52" s="1605"/>
      <c r="I52" s="1605"/>
      <c r="L52" s="1626"/>
      <c r="M52" s="1626"/>
      <c r="O52" s="1624"/>
      <c r="P52" s="1624"/>
    </row>
    <row r="53" spans="2:16">
      <c r="J53" s="1628"/>
      <c r="L53" s="1626">
        <f>+BSPL!G89+BSPL!G85</f>
        <v>-41187406.946512461</v>
      </c>
      <c r="M53" s="1626">
        <f>+BSPL!H89+BSPL!H85</f>
        <v>10688679.910785103</v>
      </c>
      <c r="O53" s="1620">
        <f>+BSPL!G30+BSPL!G33+BSPL!G35</f>
        <v>354642754.08390731</v>
      </c>
      <c r="P53" s="1624">
        <f>+BSPL!H30+BSPL!H33+BSPL!H35</f>
        <v>332441387.94041973</v>
      </c>
    </row>
    <row r="54" spans="2:16">
      <c r="L54" s="1626"/>
      <c r="M54" s="1626"/>
      <c r="O54" s="1624"/>
      <c r="P54" s="1624"/>
    </row>
    <row r="55" spans="2:16" ht="14.4" thickBot="1">
      <c r="L55" s="1677"/>
      <c r="M55" s="1677"/>
      <c r="O55" s="1678"/>
      <c r="P55" s="1678"/>
    </row>
    <row r="56" spans="2:16" s="1640" customFormat="1">
      <c r="B56" s="1603"/>
      <c r="C56" s="1605"/>
      <c r="D56" s="1605"/>
      <c r="E56" s="1605"/>
      <c r="F56" s="1605"/>
      <c r="G56" s="1605"/>
      <c r="H56" s="1605"/>
      <c r="I56" s="1605"/>
      <c r="J56" s="1642"/>
      <c r="K56" s="1643"/>
      <c r="L56" s="1637">
        <f>+L49</f>
        <v>-37729675.915287264</v>
      </c>
      <c r="M56" s="1637">
        <f>+M49</f>
        <v>3825288.9905461473</v>
      </c>
      <c r="O56" s="1630">
        <f>[71]BS!E33</f>
        <v>0</v>
      </c>
      <c r="P56" s="1630"/>
    </row>
    <row r="57" spans="2:16">
      <c r="L57" s="1646"/>
      <c r="M57" s="1646"/>
      <c r="O57" s="1647"/>
      <c r="P57" s="1647"/>
    </row>
    <row r="66" spans="15:16">
      <c r="O66" s="1652"/>
      <c r="P66" s="1652"/>
    </row>
  </sheetData>
  <printOptions horizontalCentered="1"/>
  <pageMargins left="0.31496062992125984" right="0.31496062992125984" top="0.15748031496062992" bottom="0.15748031496062992" header="0.31496062992125984" footer="0.31496062992125984"/>
  <pageSetup paperSize="9" scale="59" orientation="portrait" r:id="rId1"/>
  <rowBreaks count="1" manualBreakCount="1">
    <brk id="38" min="1"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R76"/>
  <sheetViews>
    <sheetView topLeftCell="A31" zoomScaleNormal="100" workbookViewId="0">
      <selection activeCell="E1" sqref="E1:F1048576"/>
    </sheetView>
  </sheetViews>
  <sheetFormatPr defaultColWidth="9.109375" defaultRowHeight="13.8"/>
  <cols>
    <col min="1" max="1" width="9.109375" style="1605"/>
    <col min="2" max="2" width="7.6640625" style="1603" customWidth="1"/>
    <col min="3" max="3" width="33.44140625" style="1605" bestFit="1" customWidth="1"/>
    <col min="4" max="4" width="31.109375" style="1605" customWidth="1"/>
    <col min="5" max="6" width="14.33203125" style="1605" customWidth="1"/>
    <col min="7" max="7" width="27.109375" style="1605" bestFit="1" customWidth="1"/>
    <col min="8" max="9" width="15.88671875" style="1605" customWidth="1"/>
    <col min="10" max="10" width="13.88671875" style="1605" customWidth="1"/>
    <col min="11" max="11" width="14.109375" style="1605" customWidth="1"/>
    <col min="12" max="12" width="9.109375" style="1605"/>
    <col min="13" max="13" width="27.5546875" style="1605" customWidth="1"/>
    <col min="14" max="16384" width="9.109375" style="1605"/>
  </cols>
  <sheetData>
    <row r="1" spans="2:13" ht="14.4" thickBot="1"/>
    <row r="2" spans="2:13" ht="18.600000000000001" thickBot="1">
      <c r="B2" s="2306" t="s">
        <v>785</v>
      </c>
      <c r="C2" s="2307"/>
      <c r="D2" s="2307"/>
      <c r="E2" s="2307"/>
      <c r="F2" s="2307"/>
      <c r="G2" s="2307"/>
      <c r="H2" s="2307"/>
      <c r="I2" s="2307"/>
      <c r="J2" s="2307"/>
      <c r="K2" s="2307"/>
      <c r="L2" s="2307"/>
      <c r="M2" s="2308"/>
    </row>
    <row r="3" spans="2:13" ht="18.600000000000001" thickBot="1">
      <c r="B3" s="2306" t="s">
        <v>2241</v>
      </c>
      <c r="C3" s="2307"/>
      <c r="D3" s="2307"/>
      <c r="E3" s="2307"/>
      <c r="F3" s="2307"/>
      <c r="G3" s="2307"/>
      <c r="H3" s="2307"/>
      <c r="I3" s="2307"/>
      <c r="J3" s="2307"/>
      <c r="K3" s="2307"/>
      <c r="L3" s="2307"/>
      <c r="M3" s="2308"/>
    </row>
    <row r="4" spans="2:13" ht="18">
      <c r="B4" s="1666" t="s">
        <v>3057</v>
      </c>
      <c r="C4" s="1665"/>
      <c r="D4" s="1529"/>
      <c r="E4" s="1529"/>
      <c r="F4" s="1529"/>
      <c r="G4" s="1529"/>
      <c r="H4" s="1529"/>
      <c r="I4" s="1529"/>
      <c r="J4" s="1529"/>
      <c r="K4" s="1529"/>
      <c r="L4" s="1529"/>
      <c r="M4" s="1530"/>
    </row>
    <row r="5" spans="2:13" s="1604" customFormat="1">
      <c r="B5" s="1667"/>
      <c r="C5" s="1607" t="s">
        <v>2971</v>
      </c>
      <c r="D5" s="1606" t="s">
        <v>2972</v>
      </c>
      <c r="E5" s="1606" t="s">
        <v>3054</v>
      </c>
      <c r="F5" s="1606" t="s">
        <v>2973</v>
      </c>
      <c r="G5" s="1606" t="s">
        <v>2974</v>
      </c>
      <c r="H5" s="1606" t="s">
        <v>3054</v>
      </c>
      <c r="I5" s="1606" t="s">
        <v>2973</v>
      </c>
      <c r="J5" s="1664">
        <v>45016</v>
      </c>
      <c r="K5" s="1664">
        <v>44651</v>
      </c>
      <c r="L5" s="1606" t="s">
        <v>3055</v>
      </c>
      <c r="M5" s="1668" t="s">
        <v>3056</v>
      </c>
    </row>
    <row r="6" spans="2:13">
      <c r="B6" s="1669"/>
      <c r="C6" s="1608"/>
      <c r="D6" s="1608"/>
      <c r="E6" s="1609"/>
      <c r="F6" s="1609"/>
      <c r="G6" s="1608"/>
      <c r="H6" s="1610"/>
      <c r="I6" s="1610"/>
      <c r="J6" s="1656"/>
      <c r="K6" s="1662"/>
      <c r="L6" s="1608"/>
      <c r="M6" s="1670"/>
    </row>
    <row r="7" spans="2:13" ht="41.4">
      <c r="B7" s="1669">
        <v>1</v>
      </c>
      <c r="C7" s="1611" t="s">
        <v>2975</v>
      </c>
      <c r="D7" s="1612" t="s">
        <v>2183</v>
      </c>
      <c r="E7" s="1613"/>
      <c r="F7" s="1613"/>
      <c r="G7" s="1612" t="s">
        <v>2184</v>
      </c>
      <c r="H7" s="1614"/>
      <c r="I7" s="1614"/>
      <c r="J7" s="1657">
        <f>E17/H17</f>
        <v>0.96353768576759735</v>
      </c>
      <c r="K7" s="1622">
        <f>F17/I17</f>
        <v>1.3252690905607409</v>
      </c>
      <c r="L7" s="1663">
        <f>+(K7-J7)/K7</f>
        <v>0.27294940127222744</v>
      </c>
      <c r="M7" s="1743" t="s">
        <v>3115</v>
      </c>
    </row>
    <row r="8" spans="2:13">
      <c r="B8" s="1669"/>
      <c r="C8" s="1615"/>
      <c r="D8" s="1616" t="s">
        <v>798</v>
      </c>
      <c r="E8" s="1617">
        <f>+BSPL!G15</f>
        <v>62662680.8336384</v>
      </c>
      <c r="F8" s="1617">
        <f>+BSPL!H15</f>
        <v>51593267</v>
      </c>
      <c r="G8" s="1616" t="s">
        <v>2976</v>
      </c>
      <c r="H8" s="1618">
        <f>+BSPL!G40</f>
        <v>91597921.990151003</v>
      </c>
      <c r="I8" s="1618">
        <f>+BSPL!H40</f>
        <v>87356478.839999989</v>
      </c>
      <c r="J8" s="1658"/>
      <c r="K8" s="1620"/>
      <c r="L8" s="1608"/>
      <c r="M8" s="1670"/>
    </row>
    <row r="9" spans="2:13">
      <c r="B9" s="1669"/>
      <c r="C9" s="1615"/>
      <c r="D9" s="1616" t="s">
        <v>2977</v>
      </c>
      <c r="E9" s="1619">
        <f>+BSPL!G17</f>
        <v>115802242.14</v>
      </c>
      <c r="F9" s="1619">
        <f>+BSPL!H17</f>
        <v>166554746.43000001</v>
      </c>
      <c r="G9" s="1616" t="s">
        <v>2978</v>
      </c>
      <c r="H9" s="1614">
        <f>+BSPL!G408+BSPL!G409</f>
        <v>23000016</v>
      </c>
      <c r="I9" s="1614">
        <f>+BSPL!H408+BSPL!H409</f>
        <v>20366672</v>
      </c>
      <c r="J9" s="1658"/>
      <c r="K9" s="1620"/>
      <c r="L9" s="1608"/>
      <c r="M9" s="1670"/>
    </row>
    <row r="10" spans="2:13">
      <c r="B10" s="1669"/>
      <c r="C10" s="1615"/>
      <c r="D10" s="1616" t="s">
        <v>2979</v>
      </c>
      <c r="E10" s="1619">
        <f>+BSPL!G18</f>
        <v>239775.64</v>
      </c>
      <c r="F10" s="1619">
        <f>+BSPL!H18</f>
        <v>79146.64</v>
      </c>
      <c r="G10" s="1616" t="s">
        <v>2980</v>
      </c>
      <c r="H10" s="1614"/>
      <c r="I10" s="1614"/>
      <c r="J10" s="1658"/>
      <c r="K10" s="1620"/>
      <c r="L10" s="1608"/>
      <c r="M10" s="1670"/>
    </row>
    <row r="11" spans="2:13">
      <c r="B11" s="1669"/>
      <c r="C11" s="1615"/>
      <c r="D11" s="1616" t="s">
        <v>2981</v>
      </c>
      <c r="E11" s="1619">
        <f>+BSPL!G288+BSPL!G289</f>
        <v>398175</v>
      </c>
      <c r="F11" s="1619">
        <f>+BSPL!H288+BSPL!H289</f>
        <v>780048</v>
      </c>
      <c r="G11" s="1616" t="s">
        <v>2982</v>
      </c>
      <c r="H11" s="1614">
        <f>+BSPL!G412</f>
        <v>78274677.280000001</v>
      </c>
      <c r="I11" s="1614">
        <f>+BSPL!H412</f>
        <v>56842407.57</v>
      </c>
      <c r="J11" s="1658"/>
      <c r="K11" s="1620"/>
      <c r="L11" s="1608"/>
      <c r="M11" s="1670"/>
    </row>
    <row r="12" spans="2:13">
      <c r="B12" s="1669"/>
      <c r="C12" s="1615"/>
      <c r="D12" s="1616" t="s">
        <v>2983</v>
      </c>
      <c r="E12" s="1619">
        <f>+BSPL!G282</f>
        <v>344000</v>
      </c>
      <c r="F12" s="1619">
        <f>+BSPL!H282</f>
        <v>345500</v>
      </c>
      <c r="G12" s="1616" t="s">
        <v>2984</v>
      </c>
      <c r="H12" s="1614"/>
      <c r="I12" s="1614"/>
      <c r="J12" s="1658"/>
      <c r="K12" s="1620"/>
      <c r="L12" s="1608"/>
      <c r="M12" s="1670"/>
    </row>
    <row r="13" spans="2:13">
      <c r="B13" s="1669"/>
      <c r="C13" s="1615"/>
      <c r="D13" s="1616" t="s">
        <v>2985</v>
      </c>
      <c r="E13" s="1619"/>
      <c r="F13" s="1619"/>
      <c r="G13" s="1616" t="s">
        <v>2986</v>
      </c>
      <c r="H13" s="1614"/>
      <c r="I13" s="1614"/>
      <c r="J13" s="1658"/>
      <c r="K13" s="1620"/>
      <c r="L13" s="1608"/>
      <c r="M13" s="1670"/>
    </row>
    <row r="14" spans="2:13">
      <c r="B14" s="1669"/>
      <c r="C14" s="1615"/>
      <c r="D14" s="1616" t="s">
        <v>2987</v>
      </c>
      <c r="E14" s="1619">
        <f>+BSPL!G286+BSPL!G287+BSPL!G284-'Ratio Analysis'!E12</f>
        <v>16722009</v>
      </c>
      <c r="F14" s="1619">
        <f>+BSPL!H286+BSPL!H287+BSPL!H284-'Ratio Analysis'!F12</f>
        <v>13492689.02</v>
      </c>
      <c r="G14" s="1616" t="s">
        <v>2504</v>
      </c>
      <c r="H14" s="1614">
        <f>+BSPL!G43</f>
        <v>2009575</v>
      </c>
      <c r="I14" s="1614">
        <f>+BSPL!H43</f>
        <v>3410536</v>
      </c>
      <c r="J14" s="1658"/>
      <c r="K14" s="1620"/>
      <c r="L14" s="1608"/>
      <c r="M14" s="1670"/>
    </row>
    <row r="15" spans="2:13">
      <c r="B15" s="1669"/>
      <c r="C15" s="1615"/>
      <c r="D15" s="1616"/>
      <c r="E15" s="1619"/>
      <c r="F15" s="1619"/>
      <c r="G15" s="1616" t="s">
        <v>2988</v>
      </c>
      <c r="H15" s="1614"/>
      <c r="I15" s="1614"/>
      <c r="J15" s="1658"/>
      <c r="K15" s="1620"/>
      <c r="L15" s="1608"/>
      <c r="M15" s="1670"/>
    </row>
    <row r="16" spans="2:13">
      <c r="B16" s="1669"/>
      <c r="C16" s="1615"/>
      <c r="D16" s="1616"/>
      <c r="E16" s="1619"/>
      <c r="F16" s="1619"/>
      <c r="G16" s="1616" t="s">
        <v>2989</v>
      </c>
      <c r="H16" s="1614">
        <f>+BSPL!G41+BSPL!G42</f>
        <v>8710139.8599999994</v>
      </c>
      <c r="I16" s="1614">
        <f>+BSPL!H41+BSPL!H42</f>
        <v>7720598.9999999991</v>
      </c>
      <c r="J16" s="1658"/>
      <c r="K16" s="1620"/>
      <c r="L16" s="1608"/>
      <c r="M16" s="1670"/>
    </row>
    <row r="17" spans="2:15">
      <c r="B17" s="1669"/>
      <c r="C17" s="1615"/>
      <c r="D17" s="1616"/>
      <c r="E17" s="1621">
        <f>SUM(E8:E15)</f>
        <v>196168882.6136384</v>
      </c>
      <c r="F17" s="1621">
        <f>SUM(F8:F15)</f>
        <v>232845397.09</v>
      </c>
      <c r="G17" s="1616"/>
      <c r="H17" s="1621">
        <f>SUM(H8:H16)</f>
        <v>203592330.13015103</v>
      </c>
      <c r="I17" s="1621">
        <f>SUM(I8:I16)</f>
        <v>175696693.41</v>
      </c>
      <c r="K17" s="1608"/>
      <c r="L17" s="1608"/>
      <c r="M17" s="1670"/>
    </row>
    <row r="18" spans="2:15">
      <c r="B18" s="1669"/>
      <c r="C18" s="1623"/>
      <c r="D18" s="1616"/>
      <c r="E18" s="1621"/>
      <c r="F18" s="1621"/>
      <c r="G18" s="1616"/>
      <c r="H18" s="1624"/>
      <c r="I18" s="1624"/>
      <c r="J18" s="1659"/>
      <c r="K18" s="1625"/>
      <c r="L18" s="1608"/>
      <c r="M18" s="1670"/>
    </row>
    <row r="19" spans="2:15" s="1750" customFormat="1" ht="41.4">
      <c r="B19" s="1669">
        <v>2</v>
      </c>
      <c r="C19" s="1611" t="s">
        <v>2990</v>
      </c>
      <c r="D19" s="1611" t="s">
        <v>2991</v>
      </c>
      <c r="E19" s="1744"/>
      <c r="F19" s="1744"/>
      <c r="G19" s="1611" t="s">
        <v>2992</v>
      </c>
      <c r="H19" s="1745"/>
      <c r="I19" s="1745"/>
      <c r="J19" s="1746">
        <f>E20/H20</f>
        <v>1.3694811129557956</v>
      </c>
      <c r="K19" s="1747">
        <f>F20/I20</f>
        <v>0.86335345048413903</v>
      </c>
      <c r="L19" s="1748">
        <f>+(K19-J19)/K19</f>
        <v>-0.58623459741527351</v>
      </c>
      <c r="M19" s="1749" t="s">
        <v>3116</v>
      </c>
    </row>
    <row r="20" spans="2:15">
      <c r="B20" s="1669"/>
      <c r="C20" s="1611"/>
      <c r="D20" s="1616" t="s">
        <v>2993</v>
      </c>
      <c r="E20" s="1621">
        <f>+BSPL!G45-BSPL!G30</f>
        <v>323126181.83879948</v>
      </c>
      <c r="F20" s="1621">
        <f>+BSPL!H45-BSPL!H30</f>
        <v>235889010.05987358</v>
      </c>
      <c r="G20" s="1616" t="s">
        <v>2994</v>
      </c>
      <c r="H20" s="1627">
        <f>+BSPL!G30</f>
        <v>235947892.07525888</v>
      </c>
      <c r="I20" s="1627">
        <f>+BSPL!H30</f>
        <v>273224146.99054611</v>
      </c>
      <c r="K20" s="1608"/>
      <c r="L20" s="1608"/>
      <c r="M20" s="1670"/>
    </row>
    <row r="21" spans="2:15">
      <c r="B21" s="1669"/>
      <c r="C21" s="1611"/>
      <c r="D21" s="1616"/>
      <c r="E21" s="1621"/>
      <c r="F21" s="1621"/>
      <c r="G21" s="1616"/>
      <c r="H21" s="1627"/>
      <c r="I21" s="1627"/>
      <c r="J21" s="1660"/>
      <c r="K21" s="1625"/>
      <c r="L21" s="1608"/>
      <c r="M21" s="1670"/>
    </row>
    <row r="22" spans="2:15">
      <c r="B22" s="1669"/>
      <c r="C22" s="1611"/>
      <c r="D22" s="1616"/>
      <c r="E22" s="1621"/>
      <c r="F22" s="1621"/>
      <c r="G22" s="1616"/>
      <c r="H22" s="1624"/>
      <c r="I22" s="1624"/>
      <c r="J22" s="1659"/>
      <c r="K22" s="1625"/>
      <c r="L22" s="1608"/>
      <c r="M22" s="1670"/>
    </row>
    <row r="23" spans="2:15" ht="27.6">
      <c r="B23" s="1669">
        <v>3</v>
      </c>
      <c r="C23" s="1611" t="s">
        <v>2995</v>
      </c>
      <c r="D23" s="1612" t="s">
        <v>2996</v>
      </c>
      <c r="E23" s="1626"/>
      <c r="F23" s="1626"/>
      <c r="G23" s="1612" t="s">
        <v>2997</v>
      </c>
      <c r="H23" s="1614"/>
      <c r="I23" s="1614"/>
      <c r="J23" s="1657">
        <f>E24/H24</f>
        <v>-0.94359742436735006</v>
      </c>
      <c r="K23" s="1622">
        <f>F24/I24</f>
        <v>4.611603533552759</v>
      </c>
      <c r="L23" s="1663">
        <f>+(K23-J23)/K23</f>
        <v>1.2046137352228989</v>
      </c>
      <c r="M23" s="1743" t="s">
        <v>3117</v>
      </c>
    </row>
    <row r="24" spans="2:15" ht="69">
      <c r="B24" s="1669"/>
      <c r="C24" s="1611" t="s">
        <v>2998</v>
      </c>
      <c r="D24" s="1616" t="s">
        <v>2999</v>
      </c>
      <c r="E24" s="1621">
        <f>+BSPL!G99+BSPL!G85+BSPL!G86</f>
        <v>-11060367.915287264</v>
      </c>
      <c r="F24" s="1621">
        <f>+BSPL!H99+BSPL!H85+BSPL!H86</f>
        <v>29385990.631871711</v>
      </c>
      <c r="G24" s="1616" t="s">
        <v>3000</v>
      </c>
      <c r="H24" s="1614">
        <f>+[70]BSPL!G86+'[70]Bank TL &amp; Int.'!F6</f>
        <v>11721490.15</v>
      </c>
      <c r="I24" s="1614">
        <f>+[70]BSPL!H86+'[70]Bank TL &amp; Int.'!G6</f>
        <v>6372184.9500000002</v>
      </c>
      <c r="K24" s="1608"/>
      <c r="L24" s="1608"/>
      <c r="M24" s="1751"/>
    </row>
    <row r="25" spans="2:15">
      <c r="B25" s="1669"/>
      <c r="C25" s="1611"/>
      <c r="D25" s="1616"/>
      <c r="E25" s="1621"/>
      <c r="F25" s="1621"/>
      <c r="G25" s="1616"/>
      <c r="H25" s="1627"/>
      <c r="I25" s="1627"/>
      <c r="J25" s="1660"/>
      <c r="K25" s="1625"/>
      <c r="L25" s="1608"/>
      <c r="M25" s="1670"/>
    </row>
    <row r="26" spans="2:15">
      <c r="B26" s="1669"/>
      <c r="C26" s="1611"/>
      <c r="D26" s="1616"/>
      <c r="E26" s="1621"/>
      <c r="F26" s="1621"/>
      <c r="G26" s="1616"/>
      <c r="H26" s="1627"/>
      <c r="I26" s="1627"/>
      <c r="J26" s="1660"/>
      <c r="K26" s="1625"/>
      <c r="L26" s="1608"/>
      <c r="M26" s="1670"/>
    </row>
    <row r="27" spans="2:15" ht="27.6">
      <c r="B27" s="1669">
        <v>4</v>
      </c>
      <c r="C27" s="1611" t="s">
        <v>3001</v>
      </c>
      <c r="D27" s="1612" t="s">
        <v>3002</v>
      </c>
      <c r="E27" s="1613"/>
      <c r="F27" s="1613"/>
      <c r="G27" s="1612" t="s">
        <v>3003</v>
      </c>
      <c r="H27" s="1614"/>
      <c r="I27" s="1614"/>
      <c r="J27" s="1661">
        <f>E28/H28</f>
        <v>-0.14820010927745036</v>
      </c>
      <c r="K27" s="1629">
        <f>F28/I28</f>
        <v>1.4127997271611896E-2</v>
      </c>
      <c r="L27" s="1663">
        <f>+(K27-J27)/K27</f>
        <v>11.489817235117705</v>
      </c>
      <c r="M27" s="1743" t="s">
        <v>3117</v>
      </c>
      <c r="O27" s="1628"/>
    </row>
    <row r="28" spans="2:15" ht="27.6">
      <c r="B28" s="1669"/>
      <c r="C28" s="1611"/>
      <c r="D28" s="1616" t="s">
        <v>3004</v>
      </c>
      <c r="E28" s="1619">
        <f>+BSPL!G99</f>
        <v>-37729675.915287264</v>
      </c>
      <c r="F28" s="1619">
        <f>+BSPL!H99</f>
        <v>3825288.9905461473</v>
      </c>
      <c r="G28" s="1616" t="s">
        <v>3005</v>
      </c>
      <c r="H28" s="1614">
        <f>+(BSPL!H30+BSPL!G30)/2</f>
        <v>254586019.53290248</v>
      </c>
      <c r="I28" s="1614">
        <v>270759465.5494799</v>
      </c>
      <c r="K28" s="1608"/>
      <c r="L28" s="1616"/>
      <c r="M28" s="1670"/>
      <c r="O28" s="1628"/>
    </row>
    <row r="29" spans="2:15">
      <c r="B29" s="1669"/>
      <c r="C29" s="1611"/>
      <c r="D29" s="1622"/>
      <c r="E29" s="1621"/>
      <c r="F29" s="1621"/>
      <c r="G29" s="1622"/>
      <c r="H29" s="1624"/>
      <c r="I29" s="1624"/>
      <c r="J29" s="1659"/>
      <c r="K29" s="1625"/>
      <c r="L29" s="1608"/>
      <c r="M29" s="1670"/>
    </row>
    <row r="30" spans="2:15">
      <c r="B30" s="1669"/>
      <c r="C30" s="1611"/>
      <c r="D30" s="1608"/>
      <c r="E30" s="1608"/>
      <c r="F30" s="1608"/>
      <c r="G30" s="1608"/>
      <c r="H30" s="1624"/>
      <c r="I30" s="1624"/>
      <c r="J30" s="1659"/>
      <c r="K30" s="1625"/>
      <c r="L30" s="1608"/>
      <c r="M30" s="1670"/>
    </row>
    <row r="31" spans="2:15">
      <c r="B31" s="1669"/>
      <c r="C31" s="1611"/>
      <c r="D31" s="1616"/>
      <c r="E31" s="1621"/>
      <c r="F31" s="1621"/>
      <c r="G31" s="1616"/>
      <c r="H31" s="1624"/>
      <c r="I31" s="1624"/>
      <c r="J31" s="1659"/>
      <c r="K31" s="1625"/>
      <c r="L31" s="1608"/>
      <c r="M31" s="1670"/>
    </row>
    <row r="32" spans="2:15">
      <c r="B32" s="1669">
        <v>5</v>
      </c>
      <c r="C32" s="1611" t="s">
        <v>3006</v>
      </c>
      <c r="D32" s="1612" t="s">
        <v>3007</v>
      </c>
      <c r="E32" s="1626"/>
      <c r="F32" s="1626"/>
      <c r="G32" s="1612" t="s">
        <v>3008</v>
      </c>
      <c r="H32" s="1624"/>
      <c r="I32" s="1624"/>
      <c r="J32" s="1657">
        <f>E33/H33</f>
        <v>28.083283549137033</v>
      </c>
      <c r="K32" s="1622">
        <f>F33/I33</f>
        <v>26.483116961073108</v>
      </c>
      <c r="L32" s="1663">
        <f>+(K32-J32)/K32</f>
        <v>-6.0422139524436286E-2</v>
      </c>
      <c r="M32" s="1671">
        <v>0</v>
      </c>
    </row>
    <row r="33" spans="2:18" ht="27.6">
      <c r="B33" s="1669"/>
      <c r="C33" s="1611"/>
      <c r="D33" s="1616" t="s">
        <v>3009</v>
      </c>
      <c r="E33" s="1621">
        <f>+BSPL!G81</f>
        <v>815123705.66636157</v>
      </c>
      <c r="F33" s="1621">
        <f>+BSPL!H81</f>
        <v>866942160.29999995</v>
      </c>
      <c r="G33" s="1616" t="s">
        <v>3010</v>
      </c>
      <c r="H33" s="1624">
        <f>+(BSPL!H237+BSPL!G237)/2</f>
        <v>29025227.9168192</v>
      </c>
      <c r="I33" s="1655">
        <v>32735654.25</v>
      </c>
      <c r="K33" s="1608"/>
      <c r="L33" s="1608"/>
      <c r="M33" s="1671"/>
    </row>
    <row r="34" spans="2:18">
      <c r="B34" s="1669"/>
      <c r="C34" s="1611"/>
      <c r="D34" s="1616"/>
      <c r="E34" s="1621"/>
      <c r="F34" s="1621"/>
      <c r="G34" s="1616"/>
      <c r="H34" s="1624"/>
      <c r="I34" s="1624"/>
      <c r="J34" s="1659"/>
      <c r="K34" s="1625"/>
      <c r="L34" s="1608"/>
      <c r="M34" s="1671"/>
    </row>
    <row r="35" spans="2:18">
      <c r="B35" s="1669"/>
      <c r="C35" s="1611"/>
      <c r="D35" s="1616"/>
      <c r="E35" s="1621"/>
      <c r="F35" s="1621"/>
      <c r="G35" s="1616"/>
      <c r="H35" s="1624"/>
      <c r="I35" s="1624"/>
      <c r="J35" s="1659"/>
      <c r="K35" s="1625"/>
      <c r="L35" s="1608"/>
      <c r="M35" s="1671"/>
    </row>
    <row r="36" spans="2:18">
      <c r="B36" s="1669">
        <v>6</v>
      </c>
      <c r="C36" s="1611" t="s">
        <v>3011</v>
      </c>
      <c r="D36" s="1612" t="s">
        <v>3012</v>
      </c>
      <c r="E36" s="1626"/>
      <c r="F36" s="1626"/>
      <c r="G36" s="1612" t="s">
        <v>3013</v>
      </c>
      <c r="H36" s="1624"/>
      <c r="I36" s="1624"/>
      <c r="J36" s="1657">
        <f>E37/H37</f>
        <v>7.4538102120260907</v>
      </c>
      <c r="K36" s="1622">
        <f>F37/I37</f>
        <v>6.9746814306236669</v>
      </c>
      <c r="L36" s="1663">
        <f>+(K36-J36)/K36</f>
        <v>-6.8695435937578125E-2</v>
      </c>
      <c r="M36" s="1671">
        <v>0</v>
      </c>
      <c r="R36" s="1605" t="s">
        <v>3014</v>
      </c>
    </row>
    <row r="37" spans="2:18" ht="27.6">
      <c r="B37" s="1669"/>
      <c r="C37" s="1611"/>
      <c r="D37" s="1616" t="s">
        <v>3015</v>
      </c>
      <c r="E37" s="1621">
        <f>+BSPL!G77</f>
        <v>1052317702.4200001</v>
      </c>
      <c r="F37" s="1621">
        <f>+BSPL!H77</f>
        <v>1124021510.75</v>
      </c>
      <c r="G37" s="1616" t="s">
        <v>3016</v>
      </c>
      <c r="H37" s="1624">
        <f>+(BSPL!H17+BSPL!G17)/2</f>
        <v>141178494.285</v>
      </c>
      <c r="I37" s="1655">
        <v>161157397.93000001</v>
      </c>
      <c r="K37" s="1608"/>
      <c r="L37" s="1625"/>
      <c r="M37" s="1671"/>
    </row>
    <row r="38" spans="2:18">
      <c r="B38" s="1669"/>
      <c r="C38" s="1611"/>
      <c r="D38" s="1612"/>
      <c r="E38" s="1626"/>
      <c r="F38" s="1626"/>
      <c r="G38" s="1612"/>
      <c r="H38" s="1624"/>
      <c r="I38" s="1624"/>
      <c r="J38" s="1659"/>
      <c r="K38" s="1625"/>
      <c r="L38" s="1608"/>
      <c r="M38" s="1671"/>
    </row>
    <row r="39" spans="2:18">
      <c r="B39" s="1669"/>
      <c r="C39" s="1611"/>
      <c r="D39" s="1616"/>
      <c r="E39" s="1621"/>
      <c r="F39" s="1621"/>
      <c r="G39" s="1616"/>
      <c r="H39" s="1624"/>
      <c r="I39" s="1624"/>
      <c r="J39" s="1659"/>
      <c r="K39" s="1625"/>
      <c r="L39" s="1608"/>
      <c r="M39" s="1671"/>
    </row>
    <row r="40" spans="2:18">
      <c r="B40" s="1669">
        <v>7</v>
      </c>
      <c r="C40" s="1611" t="s">
        <v>3017</v>
      </c>
      <c r="D40" s="1612" t="s">
        <v>3018</v>
      </c>
      <c r="E40" s="1626"/>
      <c r="F40" s="1626"/>
      <c r="G40" s="1612" t="s">
        <v>3019</v>
      </c>
      <c r="H40" s="1624"/>
      <c r="I40" s="1624"/>
      <c r="J40" s="1657">
        <f>E41/H41</f>
        <v>9.2333545491752176</v>
      </c>
      <c r="K40" s="1622">
        <f>F41/I41</f>
        <v>10.162283695540484</v>
      </c>
      <c r="L40" s="1663">
        <f>+(K40-J40)/K40</f>
        <v>9.1409487689554342E-2</v>
      </c>
      <c r="M40" s="1671">
        <v>0</v>
      </c>
    </row>
    <row r="41" spans="2:18" ht="27.6">
      <c r="B41" s="1669"/>
      <c r="C41" s="1611"/>
      <c r="D41" s="1616" t="s">
        <v>3020</v>
      </c>
      <c r="E41" s="1621">
        <f>+BSPL!G481</f>
        <v>826174715.5</v>
      </c>
      <c r="F41" s="1621">
        <f>+BSPL!H481</f>
        <v>848470297.79999995</v>
      </c>
      <c r="G41" s="1616" t="s">
        <v>3021</v>
      </c>
      <c r="H41" s="1624">
        <f>+(BSPL!H40+BSPL!G40)/2</f>
        <v>89477200.415075496</v>
      </c>
      <c r="I41" s="1655">
        <v>83492089.299999982</v>
      </c>
      <c r="K41" s="1608"/>
      <c r="L41" s="1608"/>
      <c r="M41" s="1670"/>
    </row>
    <row r="42" spans="2:18">
      <c r="B42" s="1669"/>
      <c r="C42" s="1611"/>
      <c r="D42" s="1616"/>
      <c r="E42" s="1626"/>
      <c r="F42" s="1626"/>
      <c r="G42" s="1616"/>
      <c r="H42" s="1624"/>
      <c r="I42" s="1624"/>
      <c r="J42" s="1659"/>
      <c r="K42" s="1625"/>
      <c r="L42" s="1608"/>
      <c r="M42" s="1670"/>
    </row>
    <row r="43" spans="2:18">
      <c r="B43" s="1669"/>
      <c r="C43" s="1611"/>
      <c r="D43" s="1616"/>
      <c r="E43" s="1621"/>
      <c r="F43" s="1621"/>
      <c r="G43" s="1616"/>
      <c r="H43" s="1624"/>
      <c r="I43" s="1624"/>
      <c r="J43" s="1659"/>
      <c r="K43" s="1625"/>
      <c r="L43" s="1608"/>
      <c r="M43" s="1670"/>
    </row>
    <row r="44" spans="2:18" ht="41.4">
      <c r="B44" s="1669">
        <v>8</v>
      </c>
      <c r="C44" s="1611" t="s">
        <v>3022</v>
      </c>
      <c r="D44" s="1612" t="s">
        <v>3023</v>
      </c>
      <c r="E44" s="1626"/>
      <c r="F44" s="1626"/>
      <c r="G44" s="1612" t="s">
        <v>3024</v>
      </c>
      <c r="H44" s="1624"/>
      <c r="I44" s="1624"/>
      <c r="J44" s="1657">
        <f>E45/H45</f>
        <v>-141.7559294491187</v>
      </c>
      <c r="K44" s="1622">
        <f>F45/I45</f>
        <v>19.668364081255042</v>
      </c>
      <c r="L44" s="1663">
        <f>+(K44-J44)/K44</f>
        <v>8.2073065590757164</v>
      </c>
      <c r="M44" s="1743" t="s">
        <v>3115</v>
      </c>
      <c r="N44" s="1633"/>
      <c r="O44" s="1632"/>
    </row>
    <row r="45" spans="2:18" ht="27.6">
      <c r="B45" s="1669"/>
      <c r="C45" s="1611"/>
      <c r="D45" s="1616" t="s">
        <v>3025</v>
      </c>
      <c r="E45" s="1621">
        <f>+BSPL!G77</f>
        <v>1052317702.4200001</v>
      </c>
      <c r="F45" s="1621">
        <f>+BSPL!H77</f>
        <v>1124021510.75</v>
      </c>
      <c r="G45" s="1616" t="s">
        <v>3026</v>
      </c>
      <c r="H45" s="1624">
        <f>+E17-H17</f>
        <v>-7423447.5165126324</v>
      </c>
      <c r="I45" s="1624">
        <f>+F17-I17</f>
        <v>57148703.680000007</v>
      </c>
      <c r="K45" s="1608"/>
      <c r="L45" s="1608"/>
      <c r="M45" s="1672"/>
      <c r="N45" s="1633"/>
      <c r="O45" s="1628"/>
    </row>
    <row r="46" spans="2:18">
      <c r="B46" s="1669"/>
      <c r="C46" s="1611"/>
      <c r="D46" s="1612"/>
      <c r="E46" s="1626"/>
      <c r="F46" s="1626"/>
      <c r="G46" s="1612"/>
      <c r="H46" s="1624"/>
      <c r="I46" s="1624"/>
      <c r="J46" s="1659"/>
      <c r="K46" s="1620"/>
      <c r="L46" s="1608"/>
      <c r="M46" s="1670"/>
    </row>
    <row r="47" spans="2:18">
      <c r="B47" s="1669"/>
      <c r="C47" s="1611"/>
      <c r="D47" s="1616"/>
      <c r="E47" s="1621"/>
      <c r="F47" s="1621"/>
      <c r="G47" s="1616"/>
      <c r="H47" s="1624"/>
      <c r="I47" s="1624"/>
      <c r="J47" s="1659"/>
      <c r="K47" s="1620"/>
      <c r="L47" s="1608"/>
      <c r="M47" s="1670"/>
    </row>
    <row r="48" spans="2:18" ht="27.6">
      <c r="B48" s="1669">
        <v>9</v>
      </c>
      <c r="C48" s="1611" t="s">
        <v>3027</v>
      </c>
      <c r="D48" s="1612" t="s">
        <v>3028</v>
      </c>
      <c r="E48" s="1626"/>
      <c r="F48" s="1626"/>
      <c r="G48" s="1612" t="s">
        <v>3023</v>
      </c>
      <c r="H48" s="1624"/>
      <c r="I48" s="1624"/>
      <c r="J48" s="1661">
        <f>E49/H49</f>
        <v>-3.5853883127235114E-2</v>
      </c>
      <c r="K48" s="1629">
        <f>F49/I49</f>
        <v>3.4032168903900557E-3</v>
      </c>
      <c r="L48" s="1663">
        <f>+(K48-J48)/K48</f>
        <v>11.535291837695882</v>
      </c>
      <c r="M48" s="1743" t="s">
        <v>3117</v>
      </c>
    </row>
    <row r="49" spans="2:15">
      <c r="B49" s="1669"/>
      <c r="C49" s="1611"/>
      <c r="D49" s="1616" t="s">
        <v>3029</v>
      </c>
      <c r="E49" s="1626">
        <f>+BSPL!G99</f>
        <v>-37729675.915287264</v>
      </c>
      <c r="F49" s="1626">
        <f>+BSPL!H99</f>
        <v>3825288.9905461473</v>
      </c>
      <c r="G49" s="1616" t="s">
        <v>1162</v>
      </c>
      <c r="H49" s="1624">
        <f>+BSPL!G77</f>
        <v>1052317702.4200001</v>
      </c>
      <c r="I49" s="1624">
        <f>+BSPL!H77</f>
        <v>1124021510.75</v>
      </c>
      <c r="K49" s="1608"/>
      <c r="L49" s="1608"/>
      <c r="M49" s="1670"/>
    </row>
    <row r="50" spans="2:15">
      <c r="B50" s="1669"/>
      <c r="C50" s="1611"/>
      <c r="D50" s="1612"/>
      <c r="E50" s="1626"/>
      <c r="F50" s="1626"/>
      <c r="G50" s="1612"/>
      <c r="H50" s="1624"/>
      <c r="I50" s="1624"/>
      <c r="J50" s="1659"/>
      <c r="K50" s="1620"/>
      <c r="L50" s="1608"/>
      <c r="M50" s="1670"/>
    </row>
    <row r="51" spans="2:15">
      <c r="B51" s="1669"/>
      <c r="C51" s="1611"/>
      <c r="D51" s="1616"/>
      <c r="E51" s="1621"/>
      <c r="F51" s="1621"/>
      <c r="G51" s="1616"/>
      <c r="H51" s="1624"/>
      <c r="I51" s="1624"/>
      <c r="J51" s="1659"/>
      <c r="K51" s="1620"/>
      <c r="L51" s="1608"/>
      <c r="M51" s="1670"/>
    </row>
    <row r="52" spans="2:15" s="1628" customFormat="1" ht="27.6">
      <c r="B52" s="1752">
        <v>10</v>
      </c>
      <c r="C52" s="1612" t="s">
        <v>3030</v>
      </c>
      <c r="D52" s="1612" t="s">
        <v>3031</v>
      </c>
      <c r="E52" s="1626"/>
      <c r="F52" s="1626"/>
      <c r="G52" s="1612" t="s">
        <v>3032</v>
      </c>
      <c r="H52" s="1624"/>
      <c r="I52" s="1624"/>
      <c r="J52" s="1661">
        <f>E53/H53</f>
        <v>-0.11613773712339166</v>
      </c>
      <c r="K52" s="1629">
        <f>F53/I53</f>
        <v>3.2152073413616998E-2</v>
      </c>
      <c r="L52" s="1753">
        <f>+(K52-J52)/K52</f>
        <v>4.6121383411063368</v>
      </c>
      <c r="M52" s="1751" t="s">
        <v>3117</v>
      </c>
    </row>
    <row r="53" spans="2:15" ht="41.4">
      <c r="B53" s="1669"/>
      <c r="C53" s="1611"/>
      <c r="D53" s="1616" t="s">
        <v>3033</v>
      </c>
      <c r="E53" s="1626">
        <f>+BSPL!G89+BSPL!G85</f>
        <v>-41187406.946512461</v>
      </c>
      <c r="F53" s="1626">
        <f>+BSPL!H89+BSPL!H85</f>
        <v>10688679.910785103</v>
      </c>
      <c r="G53" s="1673" t="s">
        <v>3034</v>
      </c>
      <c r="H53" s="1620">
        <f>+BSPL!G30+BSPL!G33+BSPL!G35</f>
        <v>354642754.08390731</v>
      </c>
      <c r="I53" s="1624">
        <f>+BSPL!H30+BSPL!H33+BSPL!H35</f>
        <v>332441387.94041973</v>
      </c>
      <c r="K53" s="1608"/>
      <c r="L53" s="1608"/>
      <c r="M53" s="1670"/>
      <c r="N53" s="1628"/>
    </row>
    <row r="54" spans="2:15">
      <c r="B54" s="1669"/>
      <c r="C54" s="1611"/>
      <c r="D54" s="1612"/>
      <c r="E54" s="1626"/>
      <c r="F54" s="1626"/>
      <c r="G54" s="1612"/>
      <c r="H54" s="1624"/>
      <c r="I54" s="1624"/>
      <c r="J54" s="1659"/>
      <c r="K54" s="1625"/>
      <c r="L54" s="1608"/>
      <c r="M54" s="1670"/>
    </row>
    <row r="55" spans="2:15" ht="14.4" thickBot="1">
      <c r="B55" s="1674"/>
      <c r="C55" s="1675"/>
      <c r="D55" s="1676"/>
      <c r="E55" s="1677"/>
      <c r="F55" s="1677"/>
      <c r="G55" s="1676"/>
      <c r="H55" s="1678"/>
      <c r="I55" s="1678"/>
      <c r="J55" s="1679"/>
      <c r="K55" s="1680"/>
      <c r="L55" s="1681"/>
      <c r="M55" s="1682"/>
    </row>
    <row r="56" spans="2:15" s="1640" customFormat="1">
      <c r="B56" s="1634">
        <v>11</v>
      </c>
      <c r="C56" s="1635" t="s">
        <v>3035</v>
      </c>
      <c r="D56" s="1636" t="s">
        <v>3036</v>
      </c>
      <c r="E56" s="1637">
        <f>+E49</f>
        <v>-37729675.915287264</v>
      </c>
      <c r="F56" s="1637">
        <f>+F49</f>
        <v>3825288.9905461473</v>
      </c>
      <c r="G56" s="1636" t="s">
        <v>3037</v>
      </c>
      <c r="H56" s="1630">
        <f>[71]BS!E33</f>
        <v>0</v>
      </c>
      <c r="I56" s="1630"/>
      <c r="J56" s="1638"/>
      <c r="K56" s="1639"/>
      <c r="M56" s="1641"/>
      <c r="N56" s="1642"/>
      <c r="O56" s="1643"/>
    </row>
    <row r="57" spans="2:15">
      <c r="B57" s="1644"/>
      <c r="C57" s="1631"/>
      <c r="D57" s="1645"/>
      <c r="E57" s="1646"/>
      <c r="F57" s="1646"/>
      <c r="G57" s="1645"/>
      <c r="H57" s="1647"/>
      <c r="I57" s="1647"/>
      <c r="J57" s="1648"/>
      <c r="K57" s="1648"/>
    </row>
    <row r="58" spans="2:15">
      <c r="C58" s="1649"/>
    </row>
    <row r="59" spans="2:15">
      <c r="B59" s="1650"/>
      <c r="C59" s="1632" t="s">
        <v>3038</v>
      </c>
    </row>
    <row r="61" spans="2:15">
      <c r="C61" s="1605" t="s">
        <v>3039</v>
      </c>
    </row>
    <row r="62" spans="2:15">
      <c r="C62" s="1605" t="s">
        <v>3040</v>
      </c>
    </row>
    <row r="63" spans="2:15">
      <c r="C63" s="1605" t="s">
        <v>3041</v>
      </c>
    </row>
    <row r="65" spans="2:9">
      <c r="B65" s="1603" t="s">
        <v>3042</v>
      </c>
      <c r="C65" s="1605" t="s">
        <v>3043</v>
      </c>
    </row>
    <row r="66" spans="2:9">
      <c r="C66" s="1651" t="s">
        <v>3044</v>
      </c>
      <c r="H66" s="1652"/>
      <c r="I66" s="1652"/>
    </row>
    <row r="67" spans="2:9">
      <c r="C67" s="1653" t="s">
        <v>3045</v>
      </c>
    </row>
    <row r="69" spans="2:9">
      <c r="C69" s="1605" t="s">
        <v>3046</v>
      </c>
    </row>
    <row r="70" spans="2:9">
      <c r="C70" s="1654" t="s">
        <v>3047</v>
      </c>
    </row>
    <row r="71" spans="2:9">
      <c r="C71" s="1654" t="s">
        <v>3048</v>
      </c>
    </row>
    <row r="72" spans="2:9">
      <c r="C72" s="1654" t="s">
        <v>3049</v>
      </c>
    </row>
    <row r="73" spans="2:9">
      <c r="C73" s="1654" t="s">
        <v>3050</v>
      </c>
    </row>
    <row r="74" spans="2:9">
      <c r="C74" s="1654" t="s">
        <v>3051</v>
      </c>
    </row>
    <row r="75" spans="2:9">
      <c r="C75" s="1654" t="s">
        <v>3052</v>
      </c>
    </row>
    <row r="76" spans="2:9">
      <c r="C76" s="1605" t="s">
        <v>3053</v>
      </c>
    </row>
  </sheetData>
  <mergeCells count="2">
    <mergeCell ref="B3:M3"/>
    <mergeCell ref="B2:M2"/>
  </mergeCells>
  <printOptions horizontalCentered="1"/>
  <pageMargins left="0.31496062992125984" right="0.31496062992125984" top="0.15748031496062992" bottom="0.15748031496062992" header="0.31496062992125984" footer="0.31496062992125984"/>
  <pageSetup paperSize="9" scale="59" orientation="portrait" r:id="rId1"/>
  <rowBreaks count="1" manualBreakCount="1">
    <brk id="38"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58"/>
  <sheetViews>
    <sheetView topLeftCell="A26" zoomScaleNormal="100" workbookViewId="0">
      <selection activeCell="Q32" activeCellId="2" sqref="D58 Q48 Q32"/>
    </sheetView>
  </sheetViews>
  <sheetFormatPr defaultColWidth="8.88671875" defaultRowHeight="13.2"/>
  <cols>
    <col min="1" max="2" width="5.6640625" style="377" customWidth="1"/>
    <col min="3" max="3" width="30.6640625" style="377" customWidth="1"/>
    <col min="4" max="4" width="11.6640625" style="377" bestFit="1" customWidth="1"/>
    <col min="5" max="5" width="8.109375" style="377" customWidth="1"/>
    <col min="6" max="8" width="6.6640625" style="377" customWidth="1"/>
    <col min="9" max="9" width="9.44140625" style="377" customWidth="1"/>
    <col min="10" max="12" width="6.6640625" style="377" customWidth="1"/>
    <col min="13" max="13" width="8.6640625" style="377" customWidth="1"/>
    <col min="14" max="15" width="6.6640625" style="377" customWidth="1"/>
    <col min="16" max="16" width="9.6640625" style="377" customWidth="1"/>
    <col min="17" max="17" width="15.6640625" style="377" customWidth="1"/>
    <col min="18" max="18" width="12.6640625" style="377" bestFit="1" customWidth="1"/>
    <col min="19" max="16384" width="8.88671875" style="377"/>
  </cols>
  <sheetData>
    <row r="1" spans="1:17" ht="19.2">
      <c r="A1" s="2309" t="s">
        <v>3058</v>
      </c>
      <c r="B1" s="2309"/>
      <c r="C1" s="2309"/>
      <c r="D1" s="2309"/>
      <c r="E1" s="2309"/>
      <c r="F1" s="2309"/>
      <c r="G1" s="2309"/>
      <c r="H1" s="2309"/>
      <c r="I1" s="2309"/>
      <c r="J1" s="2309"/>
      <c r="K1" s="2309"/>
      <c r="L1" s="2309"/>
      <c r="M1" s="2309"/>
      <c r="N1" s="2309"/>
      <c r="O1" s="2309"/>
      <c r="P1" s="2309"/>
    </row>
    <row r="2" spans="1:17" ht="18" customHeight="1">
      <c r="A2" s="2310" t="s">
        <v>3059</v>
      </c>
      <c r="B2" s="2310"/>
      <c r="C2" s="2310"/>
      <c r="D2" s="2310"/>
      <c r="E2" s="2310"/>
      <c r="F2" s="2310"/>
      <c r="G2" s="2310"/>
      <c r="H2" s="2310"/>
      <c r="I2" s="2310"/>
      <c r="J2" s="2310"/>
      <c r="K2" s="2310"/>
      <c r="L2" s="2310"/>
      <c r="M2" s="2310"/>
      <c r="N2" s="2310"/>
      <c r="O2" s="2310"/>
      <c r="P2" s="2310"/>
    </row>
    <row r="3" spans="1:17" ht="19.5" customHeight="1">
      <c r="B3" s="2311" t="s">
        <v>841</v>
      </c>
      <c r="C3" s="2311"/>
    </row>
    <row r="4" spans="1:17" ht="21.9" customHeight="1">
      <c r="A4" s="1684" t="s">
        <v>3060</v>
      </c>
      <c r="B4" s="1685"/>
      <c r="C4" s="1686" t="s">
        <v>3061</v>
      </c>
      <c r="D4" s="1687" t="s">
        <v>3062</v>
      </c>
      <c r="E4" s="1687" t="s">
        <v>3063</v>
      </c>
      <c r="F4" s="1687" t="s">
        <v>3064</v>
      </c>
      <c r="G4" s="1687" t="s">
        <v>3065</v>
      </c>
      <c r="H4" s="1687" t="s">
        <v>3066</v>
      </c>
      <c r="I4" s="1687" t="s">
        <v>3067</v>
      </c>
      <c r="J4" s="1687" t="s">
        <v>3068</v>
      </c>
      <c r="K4" s="1687" t="s">
        <v>3069</v>
      </c>
      <c r="L4" s="1687" t="s">
        <v>3070</v>
      </c>
      <c r="M4" s="1687" t="s">
        <v>3071</v>
      </c>
      <c r="N4" s="1687" t="s">
        <v>3072</v>
      </c>
      <c r="O4" s="1687" t="s">
        <v>3073</v>
      </c>
      <c r="P4" s="1688" t="s">
        <v>2228</v>
      </c>
      <c r="Q4" s="2312" t="s">
        <v>3074</v>
      </c>
    </row>
    <row r="5" spans="1:17" ht="21.9" customHeight="1" thickBot="1">
      <c r="A5" s="1689"/>
      <c r="B5" s="1690"/>
      <c r="C5" s="1691"/>
      <c r="D5" s="1692" t="s">
        <v>3075</v>
      </c>
      <c r="E5" s="1692" t="s">
        <v>3075</v>
      </c>
      <c r="F5" s="1692" t="s">
        <v>3075</v>
      </c>
      <c r="G5" s="1692" t="s">
        <v>3075</v>
      </c>
      <c r="H5" s="1692" t="s">
        <v>3075</v>
      </c>
      <c r="I5" s="1692" t="s">
        <v>3075</v>
      </c>
      <c r="J5" s="1692" t="s">
        <v>3075</v>
      </c>
      <c r="K5" s="1692" t="s">
        <v>3075</v>
      </c>
      <c r="L5" s="1692" t="s">
        <v>3075</v>
      </c>
      <c r="M5" s="1692" t="s">
        <v>3075</v>
      </c>
      <c r="N5" s="1692" t="s">
        <v>3075</v>
      </c>
      <c r="O5" s="1692" t="s">
        <v>3075</v>
      </c>
      <c r="P5" s="1693"/>
      <c r="Q5" s="2313"/>
    </row>
    <row r="6" spans="1:17" ht="21.9" customHeight="1" thickTop="1">
      <c r="A6" s="1694"/>
      <c r="B6" s="1695"/>
      <c r="C6" s="1696" t="s">
        <v>3076</v>
      </c>
      <c r="D6" s="1697"/>
      <c r="E6" s="1698"/>
      <c r="F6" s="1698"/>
      <c r="G6" s="1698"/>
      <c r="H6" s="1698"/>
      <c r="I6" s="1698"/>
      <c r="J6" s="1698"/>
      <c r="K6" s="1698"/>
      <c r="L6" s="1698"/>
      <c r="M6" s="1698"/>
      <c r="N6" s="1698"/>
      <c r="O6" s="1698"/>
      <c r="P6" s="1699"/>
      <c r="Q6" s="1700"/>
    </row>
    <row r="7" spans="1:17" ht="24.9" customHeight="1">
      <c r="A7" s="1701">
        <v>1</v>
      </c>
      <c r="B7" s="1702" t="s">
        <v>2678</v>
      </c>
      <c r="C7" s="1703" t="s">
        <v>3077</v>
      </c>
      <c r="D7" s="1704">
        <v>70000</v>
      </c>
      <c r="E7" s="1704">
        <v>70000</v>
      </c>
      <c r="F7" s="1704">
        <v>70000</v>
      </c>
      <c r="G7" s="1704">
        <v>70000</v>
      </c>
      <c r="H7" s="1704">
        <v>70000</v>
      </c>
      <c r="I7" s="1704">
        <v>70000</v>
      </c>
      <c r="J7" s="1704">
        <v>70000</v>
      </c>
      <c r="K7" s="1704">
        <v>70000</v>
      </c>
      <c r="L7" s="1704">
        <v>70000</v>
      </c>
      <c r="M7" s="1704">
        <v>70000</v>
      </c>
      <c r="N7" s="1704">
        <v>70000</v>
      </c>
      <c r="O7" s="1704">
        <v>70000</v>
      </c>
      <c r="P7" s="1704">
        <f t="shared" ref="P7:P19" si="0">SUM(D7:O7)</f>
        <v>840000</v>
      </c>
      <c r="Q7" s="1700">
        <f>+P7*50%</f>
        <v>420000</v>
      </c>
    </row>
    <row r="8" spans="1:17" ht="24.9" customHeight="1">
      <c r="A8" s="1701">
        <v>2</v>
      </c>
      <c r="B8" s="1702" t="s">
        <v>2678</v>
      </c>
      <c r="C8" s="1705" t="s">
        <v>3078</v>
      </c>
      <c r="D8" s="1704">
        <v>66000</v>
      </c>
      <c r="E8" s="1704">
        <v>66000</v>
      </c>
      <c r="F8" s="1704">
        <v>66000</v>
      </c>
      <c r="G8" s="1704">
        <v>66000</v>
      </c>
      <c r="H8" s="1704">
        <v>66000</v>
      </c>
      <c r="I8" s="1704">
        <v>66000</v>
      </c>
      <c r="J8" s="1704">
        <v>66000</v>
      </c>
      <c r="K8" s="1704">
        <v>33000</v>
      </c>
      <c r="L8" s="1704">
        <v>0</v>
      </c>
      <c r="M8" s="1704">
        <v>0</v>
      </c>
      <c r="N8" s="1704">
        <v>0</v>
      </c>
      <c r="O8" s="1704">
        <v>0</v>
      </c>
      <c r="P8" s="1704">
        <f t="shared" si="0"/>
        <v>495000</v>
      </c>
      <c r="Q8" s="1700">
        <f t="shared" ref="Q8:Q19" si="1">+P8*50%</f>
        <v>247500</v>
      </c>
    </row>
    <row r="9" spans="1:17" ht="24.9" customHeight="1">
      <c r="A9" s="1701">
        <v>3</v>
      </c>
      <c r="B9" s="1706" t="s">
        <v>2678</v>
      </c>
      <c r="C9" s="1705" t="s">
        <v>2697</v>
      </c>
      <c r="D9" s="1707">
        <v>28308</v>
      </c>
      <c r="E9" s="1707">
        <v>29615</v>
      </c>
      <c r="F9" s="1707">
        <v>24231</v>
      </c>
      <c r="G9" s="1707">
        <v>35000</v>
      </c>
      <c r="H9" s="1707">
        <v>30961</v>
      </c>
      <c r="I9" s="1707">
        <v>30961</v>
      </c>
      <c r="J9" s="1707">
        <v>33653</v>
      </c>
      <c r="K9" s="1707">
        <v>35000</v>
      </c>
      <c r="L9" s="1707">
        <v>29615</v>
      </c>
      <c r="M9" s="1707">
        <v>33653</v>
      </c>
      <c r="N9" s="1707">
        <v>28269</v>
      </c>
      <c r="O9" s="1707">
        <v>30961</v>
      </c>
      <c r="P9" s="1704">
        <f t="shared" si="0"/>
        <v>370227</v>
      </c>
      <c r="Q9" s="1708">
        <f t="shared" si="1"/>
        <v>185113.5</v>
      </c>
    </row>
    <row r="10" spans="1:17" ht="24.9" customHeight="1">
      <c r="A10" s="1701">
        <v>4</v>
      </c>
      <c r="B10" s="1706" t="s">
        <v>2678</v>
      </c>
      <c r="C10" s="1705" t="s">
        <v>2698</v>
      </c>
      <c r="D10" s="1707">
        <v>13847</v>
      </c>
      <c r="E10" s="1707">
        <v>14422</v>
      </c>
      <c r="F10" s="1707">
        <v>15000</v>
      </c>
      <c r="G10" s="1707">
        <v>15000</v>
      </c>
      <c r="H10" s="1707">
        <v>15578</v>
      </c>
      <c r="I10" s="1707">
        <v>14422</v>
      </c>
      <c r="J10" s="1707">
        <v>15578</v>
      </c>
      <c r="K10" s="1707">
        <v>15000</v>
      </c>
      <c r="L10" s="1707">
        <v>15000</v>
      </c>
      <c r="M10" s="1707">
        <v>10385</v>
      </c>
      <c r="N10" s="1707">
        <v>15000</v>
      </c>
      <c r="O10" s="1707">
        <v>14422</v>
      </c>
      <c r="P10" s="1704">
        <f t="shared" si="0"/>
        <v>173654</v>
      </c>
      <c r="Q10" s="1700">
        <f t="shared" si="1"/>
        <v>86827</v>
      </c>
    </row>
    <row r="11" spans="1:17" ht="24.9" customHeight="1">
      <c r="A11" s="1701">
        <v>5</v>
      </c>
      <c r="B11" s="1706" t="s">
        <v>2678</v>
      </c>
      <c r="C11" s="1709" t="s">
        <v>2699</v>
      </c>
      <c r="D11" s="1707">
        <v>13700</v>
      </c>
      <c r="E11" s="1707">
        <v>11592</v>
      </c>
      <c r="F11" s="1707">
        <v>8431</v>
      </c>
      <c r="G11" s="1707">
        <v>0</v>
      </c>
      <c r="H11" s="1707">
        <v>0</v>
      </c>
      <c r="I11" s="1707">
        <v>12120</v>
      </c>
      <c r="J11" s="1707">
        <v>13700</v>
      </c>
      <c r="K11" s="1707">
        <v>13173</v>
      </c>
      <c r="L11" s="1707">
        <v>14227</v>
      </c>
      <c r="M11" s="1707">
        <v>13700</v>
      </c>
      <c r="N11" s="1707">
        <v>13700</v>
      </c>
      <c r="O11" s="1707">
        <v>13700</v>
      </c>
      <c r="P11" s="1704">
        <f t="shared" si="0"/>
        <v>128043</v>
      </c>
      <c r="Q11" s="1708">
        <f t="shared" si="1"/>
        <v>64021.5</v>
      </c>
    </row>
    <row r="12" spans="1:17" ht="24.9" customHeight="1">
      <c r="A12" s="1701">
        <v>6</v>
      </c>
      <c r="B12" s="1706" t="s">
        <v>2678</v>
      </c>
      <c r="C12" s="1705" t="s">
        <v>2702</v>
      </c>
      <c r="D12" s="1707">
        <v>15692</v>
      </c>
      <c r="E12" s="1707">
        <v>11115</v>
      </c>
      <c r="F12" s="1707">
        <v>15692</v>
      </c>
      <c r="G12" s="1707">
        <v>16347</v>
      </c>
      <c r="H12" s="1707">
        <v>15692</v>
      </c>
      <c r="I12" s="1707">
        <v>14385</v>
      </c>
      <c r="J12" s="1707">
        <v>13731</v>
      </c>
      <c r="K12" s="1707">
        <v>17000</v>
      </c>
      <c r="L12" s="1707">
        <v>16347</v>
      </c>
      <c r="M12" s="1707">
        <v>17000</v>
      </c>
      <c r="N12" s="1707">
        <v>14385</v>
      </c>
      <c r="O12" s="1707">
        <v>15039</v>
      </c>
      <c r="P12" s="1704">
        <f t="shared" si="0"/>
        <v>182425</v>
      </c>
      <c r="Q12" s="1708">
        <f t="shared" si="1"/>
        <v>91212.5</v>
      </c>
    </row>
    <row r="13" spans="1:17" ht="24.9" customHeight="1">
      <c r="A13" s="1701">
        <v>7</v>
      </c>
      <c r="B13" s="1706" t="s">
        <v>2678</v>
      </c>
      <c r="C13" s="1705" t="s">
        <v>2703</v>
      </c>
      <c r="D13" s="1707">
        <v>28269</v>
      </c>
      <c r="E13" s="1707">
        <v>33653</v>
      </c>
      <c r="F13" s="1707">
        <v>32308</v>
      </c>
      <c r="G13" s="1707">
        <v>36347</v>
      </c>
      <c r="H13" s="1707">
        <v>36347</v>
      </c>
      <c r="I13" s="1707">
        <v>30961</v>
      </c>
      <c r="J13" s="1707">
        <v>33653</v>
      </c>
      <c r="K13" s="1707">
        <v>35000</v>
      </c>
      <c r="L13" s="1707">
        <v>30961</v>
      </c>
      <c r="M13" s="1707">
        <v>33653</v>
      </c>
      <c r="N13" s="1707">
        <v>24231</v>
      </c>
      <c r="O13" s="1707">
        <v>30961</v>
      </c>
      <c r="P13" s="1704">
        <f t="shared" si="0"/>
        <v>386344</v>
      </c>
      <c r="Q13" s="1700">
        <f t="shared" si="1"/>
        <v>193172</v>
      </c>
    </row>
    <row r="14" spans="1:17" ht="24.9" customHeight="1">
      <c r="A14" s="1701">
        <v>8</v>
      </c>
      <c r="B14" s="1710" t="s">
        <v>2678</v>
      </c>
      <c r="C14" s="1705" t="s">
        <v>2706</v>
      </c>
      <c r="D14" s="1707">
        <v>3751</v>
      </c>
      <c r="E14" s="1707">
        <v>20251</v>
      </c>
      <c r="F14" s="1707">
        <v>13500</v>
      </c>
      <c r="G14" s="1707">
        <v>9751</v>
      </c>
      <c r="H14" s="1707">
        <v>19500</v>
      </c>
      <c r="I14" s="1707">
        <v>19500</v>
      </c>
      <c r="J14" s="1707">
        <v>18000</v>
      </c>
      <c r="K14" s="1707">
        <v>18751</v>
      </c>
      <c r="L14" s="1707">
        <v>20251</v>
      </c>
      <c r="M14" s="1707">
        <v>20251</v>
      </c>
      <c r="N14" s="1707">
        <v>10500</v>
      </c>
      <c r="O14" s="1707">
        <v>6000</v>
      </c>
      <c r="P14" s="1704">
        <f t="shared" si="0"/>
        <v>180006</v>
      </c>
      <c r="Q14" s="1700">
        <f t="shared" si="1"/>
        <v>90003</v>
      </c>
    </row>
    <row r="15" spans="1:17" ht="24.9" customHeight="1">
      <c r="A15" s="1701">
        <v>9</v>
      </c>
      <c r="B15" s="1710" t="s">
        <v>2678</v>
      </c>
      <c r="C15" s="1705" t="s">
        <v>3079</v>
      </c>
      <c r="D15" s="1707">
        <v>17800</v>
      </c>
      <c r="E15" s="1707">
        <v>16431</v>
      </c>
      <c r="F15" s="1707">
        <v>17800</v>
      </c>
      <c r="G15" s="1707">
        <v>14378</v>
      </c>
      <c r="H15" s="1707">
        <v>16431</v>
      </c>
      <c r="I15" s="1707">
        <v>17800</v>
      </c>
      <c r="J15" s="1707">
        <v>13692</v>
      </c>
      <c r="K15" s="1707">
        <v>16431</v>
      </c>
      <c r="L15" s="1707">
        <v>18485</v>
      </c>
      <c r="M15" s="1707">
        <v>16431</v>
      </c>
      <c r="N15" s="1707">
        <v>17800</v>
      </c>
      <c r="O15" s="1707">
        <v>13008</v>
      </c>
      <c r="P15" s="1704">
        <f t="shared" si="0"/>
        <v>196487</v>
      </c>
      <c r="Q15" s="1708">
        <f t="shared" si="1"/>
        <v>98243.5</v>
      </c>
    </row>
    <row r="16" spans="1:17" ht="24.9" customHeight="1">
      <c r="A16" s="1701">
        <v>10</v>
      </c>
      <c r="B16" s="1710" t="s">
        <v>2678</v>
      </c>
      <c r="C16" s="1705" t="s">
        <v>3080</v>
      </c>
      <c r="D16" s="1707">
        <v>15785</v>
      </c>
      <c r="E16" s="1707">
        <v>16441</v>
      </c>
      <c r="F16" s="1707">
        <v>17100</v>
      </c>
      <c r="G16" s="1707">
        <v>17759</v>
      </c>
      <c r="H16" s="1707">
        <v>15127</v>
      </c>
      <c r="I16" s="1707">
        <v>15127</v>
      </c>
      <c r="J16" s="1707">
        <v>13153</v>
      </c>
      <c r="K16" s="1707">
        <v>16441</v>
      </c>
      <c r="L16" s="1707">
        <v>17100</v>
      </c>
      <c r="M16" s="1707">
        <v>17100</v>
      </c>
      <c r="N16" s="1707">
        <v>17100</v>
      </c>
      <c r="O16" s="1707">
        <v>17100</v>
      </c>
      <c r="P16" s="1704">
        <f t="shared" si="0"/>
        <v>195333</v>
      </c>
      <c r="Q16" s="1708">
        <f t="shared" si="1"/>
        <v>97666.5</v>
      </c>
    </row>
    <row r="17" spans="1:18" ht="24.9" customHeight="1">
      <c r="A17" s="1701">
        <v>11</v>
      </c>
      <c r="B17" s="1710" t="s">
        <v>2678</v>
      </c>
      <c r="C17" s="1705" t="s">
        <v>3081</v>
      </c>
      <c r="D17" s="1707">
        <v>13173</v>
      </c>
      <c r="E17" s="1707">
        <v>14227</v>
      </c>
      <c r="F17" s="1707">
        <v>13173</v>
      </c>
      <c r="G17" s="1707">
        <v>11592</v>
      </c>
      <c r="H17" s="1707">
        <v>13173</v>
      </c>
      <c r="I17" s="1707">
        <v>12646</v>
      </c>
      <c r="J17" s="1707">
        <v>13173</v>
      </c>
      <c r="K17" s="1707">
        <v>13173</v>
      </c>
      <c r="L17" s="1707">
        <v>13700</v>
      </c>
      <c r="M17" s="1707">
        <v>12646</v>
      </c>
      <c r="N17" s="1707">
        <v>10012</v>
      </c>
      <c r="O17" s="1707">
        <v>11592</v>
      </c>
      <c r="P17" s="1704">
        <f t="shared" si="0"/>
        <v>152280</v>
      </c>
      <c r="Q17" s="1700">
        <f t="shared" si="1"/>
        <v>76140</v>
      </c>
    </row>
    <row r="18" spans="1:18" ht="24.9" customHeight="1">
      <c r="A18" s="1711">
        <v>12</v>
      </c>
      <c r="B18" s="1702" t="s">
        <v>2678</v>
      </c>
      <c r="C18" s="1705" t="s">
        <v>3082</v>
      </c>
      <c r="D18" s="1704">
        <v>27600</v>
      </c>
      <c r="E18" s="1704">
        <v>28000</v>
      </c>
      <c r="F18" s="1704">
        <v>28000</v>
      </c>
      <c r="G18" s="1704">
        <v>28000</v>
      </c>
      <c r="H18" s="1704">
        <v>28000</v>
      </c>
      <c r="I18" s="1704">
        <v>28000</v>
      </c>
      <c r="J18" s="1704">
        <v>28000</v>
      </c>
      <c r="K18" s="1704">
        <v>28000</v>
      </c>
      <c r="L18" s="1704">
        <v>28000</v>
      </c>
      <c r="M18" s="1704">
        <v>28000</v>
      </c>
      <c r="N18" s="1704">
        <v>28000</v>
      </c>
      <c r="O18" s="1704">
        <v>28000</v>
      </c>
      <c r="P18" s="1704">
        <f t="shared" si="0"/>
        <v>335600</v>
      </c>
      <c r="Q18" s="1700">
        <f t="shared" si="1"/>
        <v>167800</v>
      </c>
    </row>
    <row r="19" spans="1:18" ht="24.9" customHeight="1">
      <c r="A19" s="1711">
        <v>13</v>
      </c>
      <c r="B19" s="1706" t="s">
        <v>2678</v>
      </c>
      <c r="C19" s="1705" t="s">
        <v>3083</v>
      </c>
      <c r="D19" s="1707">
        <v>43153</v>
      </c>
      <c r="E19" s="1707">
        <v>51000</v>
      </c>
      <c r="F19" s="1707">
        <v>47078</v>
      </c>
      <c r="G19" s="1707">
        <v>41192</v>
      </c>
      <c r="H19" s="1707">
        <v>39231</v>
      </c>
      <c r="I19" s="1707">
        <v>33347</v>
      </c>
      <c r="J19" s="1707">
        <v>49039</v>
      </c>
      <c r="K19" s="1707">
        <v>43153</v>
      </c>
      <c r="L19" s="1707">
        <v>47078</v>
      </c>
      <c r="M19" s="1707">
        <v>45115</v>
      </c>
      <c r="N19" s="1707">
        <v>37269</v>
      </c>
      <c r="O19" s="1707">
        <v>43153</v>
      </c>
      <c r="P19" s="1704">
        <f t="shared" si="0"/>
        <v>519808</v>
      </c>
      <c r="Q19" s="1700">
        <f t="shared" si="1"/>
        <v>259904</v>
      </c>
      <c r="R19" s="1728">
        <f>SUM(Q7:Q19)</f>
        <v>2077603.5</v>
      </c>
    </row>
    <row r="20" spans="1:18" ht="24.9" customHeight="1">
      <c r="A20" s="1711"/>
      <c r="B20" s="1706"/>
      <c r="C20" s="1712" t="s">
        <v>3084</v>
      </c>
      <c r="D20" s="1713">
        <v>0.6</v>
      </c>
      <c r="E20" s="1707"/>
      <c r="F20" s="1707"/>
      <c r="G20" s="1707"/>
      <c r="H20" s="1707"/>
      <c r="I20" s="1707"/>
      <c r="J20" s="1707"/>
      <c r="K20" s="1707"/>
      <c r="L20" s="1707"/>
      <c r="M20" s="1707"/>
      <c r="N20" s="1707"/>
      <c r="O20" s="1707"/>
      <c r="P20" s="1704"/>
      <c r="Q20" s="1700"/>
    </row>
    <row r="21" spans="1:18" ht="24.9" customHeight="1">
      <c r="A21" s="1711">
        <v>1</v>
      </c>
      <c r="B21" s="1706" t="s">
        <v>3085</v>
      </c>
      <c r="C21" s="1705" t="s">
        <v>3086</v>
      </c>
      <c r="D21" s="1707">
        <v>160000</v>
      </c>
      <c r="E21" s="1707">
        <v>160000</v>
      </c>
      <c r="F21" s="1707">
        <v>160000</v>
      </c>
      <c r="G21" s="1707">
        <v>160000</v>
      </c>
      <c r="H21" s="1707">
        <v>160000</v>
      </c>
      <c r="I21" s="1707">
        <v>160000</v>
      </c>
      <c r="J21" s="1707">
        <v>160000</v>
      </c>
      <c r="K21" s="1707">
        <v>160000</v>
      </c>
      <c r="L21" s="1707">
        <v>160000</v>
      </c>
      <c r="M21" s="1707">
        <v>160000</v>
      </c>
      <c r="N21" s="1707">
        <v>160000</v>
      </c>
      <c r="O21" s="1707">
        <v>160000</v>
      </c>
      <c r="P21" s="1704">
        <f>SUM(D21:O21)</f>
        <v>1920000</v>
      </c>
      <c r="Q21" s="1700">
        <f>+P21*60%</f>
        <v>1152000</v>
      </c>
    </row>
    <row r="22" spans="1:18" ht="24.9" customHeight="1">
      <c r="A22" s="1711"/>
      <c r="B22" s="1706"/>
      <c r="C22" s="1705"/>
      <c r="D22" s="1713">
        <v>0.2</v>
      </c>
      <c r="E22" s="1707"/>
      <c r="F22" s="1707"/>
      <c r="G22" s="1707"/>
      <c r="H22" s="1707"/>
      <c r="I22" s="1707"/>
      <c r="J22" s="1707"/>
      <c r="K22" s="1707"/>
      <c r="L22" s="1707"/>
      <c r="M22" s="1707"/>
      <c r="N22" s="1707"/>
      <c r="O22" s="1707"/>
      <c r="P22" s="1704"/>
      <c r="Q22" s="1700"/>
    </row>
    <row r="23" spans="1:18" ht="24.9" customHeight="1">
      <c r="A23" s="1711">
        <v>2</v>
      </c>
      <c r="B23" s="1706" t="s">
        <v>3085</v>
      </c>
      <c r="C23" s="1705" t="s">
        <v>3087</v>
      </c>
      <c r="D23" s="1707">
        <v>80000</v>
      </c>
      <c r="E23" s="1707">
        <v>80000</v>
      </c>
      <c r="F23" s="1707">
        <v>80000</v>
      </c>
      <c r="G23" s="1707">
        <v>80000</v>
      </c>
      <c r="H23" s="1707">
        <v>80000</v>
      </c>
      <c r="I23" s="1707">
        <v>80000</v>
      </c>
      <c r="J23" s="1707">
        <v>80000</v>
      </c>
      <c r="K23" s="1707">
        <v>80000</v>
      </c>
      <c r="L23" s="1707">
        <v>80000</v>
      </c>
      <c r="M23" s="1707">
        <v>80000</v>
      </c>
      <c r="N23" s="1707">
        <v>80000</v>
      </c>
      <c r="O23" s="1707">
        <v>80000</v>
      </c>
      <c r="P23" s="1704">
        <f>SUM(D23:O23)</f>
        <v>960000</v>
      </c>
      <c r="Q23" s="1700">
        <f>+P23*20%</f>
        <v>192000</v>
      </c>
    </row>
    <row r="24" spans="1:18" ht="24.9" customHeight="1">
      <c r="A24" s="1711">
        <v>3</v>
      </c>
      <c r="B24" s="1706" t="s">
        <v>3085</v>
      </c>
      <c r="C24" s="1705" t="s">
        <v>3088</v>
      </c>
      <c r="D24" s="1707">
        <v>80000</v>
      </c>
      <c r="E24" s="1707">
        <v>80000</v>
      </c>
      <c r="F24" s="1707">
        <v>80000</v>
      </c>
      <c r="G24" s="1707">
        <v>80000</v>
      </c>
      <c r="H24" s="1707">
        <v>80000</v>
      </c>
      <c r="I24" s="1707">
        <v>80000</v>
      </c>
      <c r="J24" s="1707">
        <v>80000</v>
      </c>
      <c r="K24" s="1707">
        <v>80000</v>
      </c>
      <c r="L24" s="1707">
        <v>80000</v>
      </c>
      <c r="M24" s="1707">
        <v>80000</v>
      </c>
      <c r="N24" s="1707">
        <v>80000</v>
      </c>
      <c r="O24" s="1707">
        <v>80000</v>
      </c>
      <c r="P24" s="1704">
        <f t="shared" ref="P24:P25" si="2">SUM(D24:O24)</f>
        <v>960000</v>
      </c>
      <c r="Q24" s="1700">
        <f t="shared" ref="Q24:Q25" si="3">+P24*20%</f>
        <v>192000</v>
      </c>
    </row>
    <row r="25" spans="1:18" ht="24.9" customHeight="1">
      <c r="A25" s="1711">
        <v>4</v>
      </c>
      <c r="B25" s="1706" t="s">
        <v>3085</v>
      </c>
      <c r="C25" s="1705" t="s">
        <v>3089</v>
      </c>
      <c r="D25" s="1707">
        <v>80000</v>
      </c>
      <c r="E25" s="1707">
        <v>80000</v>
      </c>
      <c r="F25" s="1707">
        <v>80000</v>
      </c>
      <c r="G25" s="1707">
        <v>80000</v>
      </c>
      <c r="H25" s="1707">
        <v>80000</v>
      </c>
      <c r="I25" s="1707">
        <v>80000</v>
      </c>
      <c r="J25" s="1707">
        <v>80000</v>
      </c>
      <c r="K25" s="1707">
        <v>80000</v>
      </c>
      <c r="L25" s="1707">
        <v>80000</v>
      </c>
      <c r="M25" s="1707">
        <v>80000</v>
      </c>
      <c r="N25" s="1707">
        <v>80000</v>
      </c>
      <c r="O25" s="1707">
        <v>80000</v>
      </c>
      <c r="P25" s="1704">
        <f t="shared" si="2"/>
        <v>960000</v>
      </c>
      <c r="Q25" s="1700">
        <f t="shared" si="3"/>
        <v>192000</v>
      </c>
      <c r="R25" s="1728">
        <f>SUM(Q21:Q25)</f>
        <v>1728000</v>
      </c>
    </row>
    <row r="26" spans="1:18" ht="24.9" customHeight="1">
      <c r="A26" s="1711"/>
      <c r="B26" s="1706"/>
      <c r="C26" s="1696" t="s">
        <v>3090</v>
      </c>
      <c r="D26" s="1707"/>
      <c r="E26" s="1707"/>
      <c r="F26" s="1707"/>
      <c r="G26" s="1707"/>
      <c r="H26" s="1707"/>
      <c r="I26" s="1707"/>
      <c r="J26" s="1707"/>
      <c r="K26" s="1707"/>
      <c r="L26" s="1707"/>
      <c r="M26" s="1707"/>
      <c r="N26" s="1707"/>
      <c r="O26" s="1707"/>
      <c r="P26" s="1704"/>
      <c r="Q26" s="1700"/>
    </row>
    <row r="27" spans="1:18" ht="24.9" customHeight="1">
      <c r="A27" s="1711">
        <v>1</v>
      </c>
      <c r="B27" s="1706"/>
      <c r="C27" s="1705" t="s">
        <v>3091</v>
      </c>
      <c r="D27" s="1707">
        <v>356467</v>
      </c>
      <c r="E27" s="1707">
        <v>395695</v>
      </c>
      <c r="F27" s="1707">
        <v>359510</v>
      </c>
      <c r="G27" s="1707">
        <v>366182</v>
      </c>
      <c r="H27" s="1707">
        <v>376469</v>
      </c>
      <c r="I27" s="1707">
        <v>371711</v>
      </c>
      <c r="J27" s="1707">
        <v>394418</v>
      </c>
      <c r="K27" s="1707">
        <v>360500</v>
      </c>
      <c r="L27" s="1707">
        <v>346427</v>
      </c>
      <c r="M27" s="1707">
        <v>399223</v>
      </c>
      <c r="N27" s="1707">
        <v>367039</v>
      </c>
      <c r="O27" s="1707">
        <v>398073</v>
      </c>
      <c r="P27" s="1704">
        <f>SUM(D27:O27)</f>
        <v>4491714</v>
      </c>
      <c r="Q27" s="1708">
        <f>+P27*25%</f>
        <v>1122928.5</v>
      </c>
    </row>
    <row r="28" spans="1:18" ht="24.9" customHeight="1">
      <c r="A28" s="1711">
        <v>2</v>
      </c>
      <c r="B28" s="1706"/>
      <c r="C28" s="1705" t="s">
        <v>3092</v>
      </c>
      <c r="D28" s="1707">
        <v>300798</v>
      </c>
      <c r="E28" s="1707">
        <v>320447</v>
      </c>
      <c r="F28" s="1707">
        <v>286777</v>
      </c>
      <c r="G28" s="1707">
        <v>310958</v>
      </c>
      <c r="H28" s="1707">
        <v>313366</v>
      </c>
      <c r="I28" s="1707">
        <v>305766</v>
      </c>
      <c r="J28" s="1707">
        <v>314849</v>
      </c>
      <c r="K28" s="1707">
        <v>306379</v>
      </c>
      <c r="L28" s="1707">
        <v>328275</v>
      </c>
      <c r="M28" s="1707">
        <v>339506</v>
      </c>
      <c r="N28" s="1707">
        <v>329393</v>
      </c>
      <c r="O28" s="1707">
        <v>316580</v>
      </c>
      <c r="P28" s="1704">
        <f>SUM(D28:O28)</f>
        <v>3773094</v>
      </c>
      <c r="Q28" s="1708">
        <f t="shared" ref="Q28:Q30" si="4">+P28*25%</f>
        <v>943273.5</v>
      </c>
    </row>
    <row r="29" spans="1:18" ht="24.9" customHeight="1">
      <c r="A29" s="1711">
        <v>3</v>
      </c>
      <c r="B29" s="1706"/>
      <c r="C29" s="1705" t="s">
        <v>2334</v>
      </c>
      <c r="D29" s="1707">
        <v>517740</v>
      </c>
      <c r="E29" s="1707">
        <v>533740</v>
      </c>
      <c r="F29" s="1707">
        <v>473300</v>
      </c>
      <c r="G29" s="1707">
        <v>559770</v>
      </c>
      <c r="H29" s="1707">
        <v>563240</v>
      </c>
      <c r="I29" s="1707">
        <v>543854</v>
      </c>
      <c r="J29" s="1707">
        <v>566936</v>
      </c>
      <c r="K29" s="1707">
        <v>560001</v>
      </c>
      <c r="L29" s="1707">
        <v>555320</v>
      </c>
      <c r="M29" s="1707">
        <v>559200</v>
      </c>
      <c r="N29" s="1707">
        <v>506480</v>
      </c>
      <c r="O29" s="1707">
        <v>499630</v>
      </c>
      <c r="P29" s="1704">
        <f>SUM(D29:O29)</f>
        <v>6439211</v>
      </c>
      <c r="Q29" s="1708">
        <f t="shared" si="4"/>
        <v>1609802.75</v>
      </c>
    </row>
    <row r="30" spans="1:18" ht="24.9" customHeight="1">
      <c r="A30" s="1711">
        <v>4</v>
      </c>
      <c r="B30" s="1706"/>
      <c r="C30" s="1705" t="s">
        <v>281</v>
      </c>
      <c r="D30" s="1707">
        <v>313834</v>
      </c>
      <c r="E30" s="1707">
        <v>338932</v>
      </c>
      <c r="F30" s="1707">
        <v>338577</v>
      </c>
      <c r="G30" s="1707">
        <v>339401</v>
      </c>
      <c r="H30" s="1707">
        <v>339853</v>
      </c>
      <c r="I30" s="1707">
        <v>341807</v>
      </c>
      <c r="J30" s="1707">
        <v>342308</v>
      </c>
      <c r="K30" s="1707">
        <v>337278</v>
      </c>
      <c r="L30" s="1707">
        <v>343362</v>
      </c>
      <c r="M30" s="1707">
        <v>343389</v>
      </c>
      <c r="N30" s="1707">
        <v>336058</v>
      </c>
      <c r="O30" s="1707">
        <v>343279</v>
      </c>
      <c r="P30" s="1704">
        <f>SUM(D30:O30)</f>
        <v>4058078</v>
      </c>
      <c r="Q30" s="1708">
        <f t="shared" si="4"/>
        <v>1014519.5</v>
      </c>
      <c r="R30" s="1728">
        <f>SUM(Q27:Q30)</f>
        <v>4690524.25</v>
      </c>
    </row>
    <row r="31" spans="1:18" ht="24.9" customHeight="1">
      <c r="A31" s="1711"/>
      <c r="B31" s="1706"/>
      <c r="C31" s="1705"/>
      <c r="D31" s="1707"/>
      <c r="E31" s="1707"/>
      <c r="F31" s="1707"/>
      <c r="G31" s="1707"/>
      <c r="H31" s="1707"/>
      <c r="I31" s="1707"/>
      <c r="J31" s="1707"/>
      <c r="K31" s="1707"/>
      <c r="L31" s="1707"/>
      <c r="M31" s="1707"/>
      <c r="N31" s="1707"/>
      <c r="O31" s="1707"/>
      <c r="P31" s="1704"/>
      <c r="Q31" s="1700"/>
    </row>
    <row r="32" spans="1:18" ht="24.9" customHeight="1">
      <c r="A32" s="1714"/>
      <c r="B32" s="1715"/>
      <c r="C32" s="1716" t="s">
        <v>2228</v>
      </c>
      <c r="D32" s="1714"/>
      <c r="E32" s="1714"/>
      <c r="F32" s="1714"/>
      <c r="G32" s="1714"/>
      <c r="H32" s="1714"/>
      <c r="I32" s="1714"/>
      <c r="J32" s="1714"/>
      <c r="K32" s="1714"/>
      <c r="L32" s="1714"/>
      <c r="M32" s="1714"/>
      <c r="N32" s="1714"/>
      <c r="O32" s="1714"/>
      <c r="P32" s="1717">
        <f>SUM(P7:P31)</f>
        <v>27717304</v>
      </c>
      <c r="Q32" s="1718">
        <f>SUM(Q7:Q31)</f>
        <v>8496127.75</v>
      </c>
    </row>
    <row r="33" spans="1:17" ht="24.9" customHeight="1">
      <c r="A33" s="1695"/>
      <c r="B33" s="1695"/>
      <c r="C33" s="1719"/>
      <c r="D33" s="1695"/>
      <c r="E33" s="1695"/>
      <c r="F33" s="1695"/>
      <c r="G33" s="1695"/>
      <c r="H33" s="1695"/>
      <c r="I33" s="1695"/>
      <c r="J33" s="1695"/>
      <c r="K33" s="1695"/>
      <c r="L33" s="1695"/>
      <c r="M33" s="1695"/>
      <c r="N33" s="1695"/>
      <c r="O33" s="1695"/>
      <c r="P33" s="1720"/>
      <c r="Q33" s="1721"/>
    </row>
    <row r="34" spans="1:17" ht="24.9" customHeight="1">
      <c r="A34" s="1722" t="s">
        <v>3093</v>
      </c>
    </row>
    <row r="35" spans="1:17" ht="24.9" customHeight="1">
      <c r="A35" s="1684" t="s">
        <v>3060</v>
      </c>
      <c r="B35" s="1685"/>
      <c r="C35" s="1686" t="s">
        <v>3061</v>
      </c>
      <c r="D35" s="1723" t="s">
        <v>3094</v>
      </c>
      <c r="E35" s="1723" t="s">
        <v>3063</v>
      </c>
      <c r="F35" s="1723" t="s">
        <v>3095</v>
      </c>
      <c r="G35" s="1723" t="s">
        <v>3065</v>
      </c>
      <c r="H35" s="1723" t="s">
        <v>3096</v>
      </c>
      <c r="I35" s="1723" t="s">
        <v>3097</v>
      </c>
      <c r="J35" s="1723" t="s">
        <v>3098</v>
      </c>
      <c r="K35" s="1723" t="s">
        <v>3099</v>
      </c>
      <c r="L35" s="1723" t="s">
        <v>3100</v>
      </c>
      <c r="M35" s="1723" t="s">
        <v>3101</v>
      </c>
      <c r="N35" s="1723" t="s">
        <v>3102</v>
      </c>
      <c r="O35" s="1723" t="s">
        <v>3103</v>
      </c>
      <c r="P35" s="1688" t="s">
        <v>2228</v>
      </c>
      <c r="Q35" s="2312" t="s">
        <v>3104</v>
      </c>
    </row>
    <row r="36" spans="1:17" ht="13.8" thickBot="1">
      <c r="A36" s="1689"/>
      <c r="B36" s="1690"/>
      <c r="C36" s="1691"/>
      <c r="D36" s="1692" t="s">
        <v>3105</v>
      </c>
      <c r="E36" s="1692" t="s">
        <v>3105</v>
      </c>
      <c r="F36" s="1692" t="s">
        <v>3105</v>
      </c>
      <c r="G36" s="1692" t="s">
        <v>3105</v>
      </c>
      <c r="H36" s="1692" t="s">
        <v>3105</v>
      </c>
      <c r="I36" s="1692" t="s">
        <v>3105</v>
      </c>
      <c r="J36" s="1692" t="s">
        <v>3105</v>
      </c>
      <c r="K36" s="1692" t="s">
        <v>3105</v>
      </c>
      <c r="L36" s="1692" t="s">
        <v>3105</v>
      </c>
      <c r="M36" s="1692" t="s">
        <v>3105</v>
      </c>
      <c r="N36" s="1692" t="s">
        <v>3105</v>
      </c>
      <c r="O36" s="1692" t="s">
        <v>3105</v>
      </c>
      <c r="P36" s="1693"/>
      <c r="Q36" s="2313"/>
    </row>
    <row r="37" spans="1:17" ht="13.8" thickTop="1">
      <c r="A37" s="1694"/>
      <c r="B37" s="1695"/>
      <c r="C37" s="1696"/>
      <c r="D37" s="1697"/>
      <c r="E37" s="1698"/>
      <c r="F37" s="1698"/>
      <c r="G37" s="1698"/>
      <c r="H37" s="1698"/>
      <c r="I37" s="1698"/>
      <c r="J37" s="1698"/>
      <c r="K37" s="1698"/>
      <c r="L37" s="1698"/>
      <c r="M37" s="1698"/>
      <c r="N37" s="1698"/>
      <c r="O37" s="1698"/>
      <c r="P37" s="1699"/>
      <c r="Q37" s="1700"/>
    </row>
    <row r="38" spans="1:17" ht="15.6">
      <c r="A38" s="1701">
        <v>3</v>
      </c>
      <c r="B38" s="1706" t="s">
        <v>2678</v>
      </c>
      <c r="C38" s="1705" t="s">
        <v>2697</v>
      </c>
      <c r="D38" s="1707">
        <v>6462</v>
      </c>
      <c r="E38" s="1707">
        <v>6226</v>
      </c>
      <c r="F38" s="1707">
        <v>13125</v>
      </c>
      <c r="G38" s="1707">
        <v>6058</v>
      </c>
      <c r="H38" s="1707">
        <v>9255</v>
      </c>
      <c r="I38" s="1707">
        <v>3197</v>
      </c>
      <c r="J38" s="1707">
        <v>3534</v>
      </c>
      <c r="K38" s="1707">
        <v>6731</v>
      </c>
      <c r="L38" s="1707">
        <v>7067</v>
      </c>
      <c r="M38" s="1704">
        <v>6563</v>
      </c>
      <c r="N38" s="1704">
        <v>8582</v>
      </c>
      <c r="O38" s="1704">
        <v>5721</v>
      </c>
      <c r="P38" s="1704">
        <f t="shared" ref="P38:P47" si="5">SUM(D38:O38)</f>
        <v>82521</v>
      </c>
      <c r="Q38" s="1700">
        <f t="shared" ref="Q38:Q46" si="6">+P38</f>
        <v>82521</v>
      </c>
    </row>
    <row r="39" spans="1:17" ht="15.6">
      <c r="A39" s="1701">
        <v>4</v>
      </c>
      <c r="B39" s="1706" t="s">
        <v>2678</v>
      </c>
      <c r="C39" s="1705" t="s">
        <v>2698</v>
      </c>
      <c r="D39" s="1707">
        <v>6995</v>
      </c>
      <c r="E39" s="1707">
        <v>8293</v>
      </c>
      <c r="F39" s="1707">
        <v>8870</v>
      </c>
      <c r="G39" s="1707">
        <v>12909</v>
      </c>
      <c r="H39" s="1707">
        <v>12476</v>
      </c>
      <c r="I39" s="1707">
        <v>12115</v>
      </c>
      <c r="J39" s="1707">
        <v>14135</v>
      </c>
      <c r="K39" s="1707">
        <v>10673</v>
      </c>
      <c r="L39" s="1707">
        <v>12620</v>
      </c>
      <c r="M39" s="1704">
        <v>7716</v>
      </c>
      <c r="N39" s="1704">
        <v>11322</v>
      </c>
      <c r="O39" s="1704">
        <v>13341</v>
      </c>
      <c r="P39" s="1704">
        <f t="shared" si="5"/>
        <v>131465</v>
      </c>
      <c r="Q39" s="1700">
        <f t="shared" si="6"/>
        <v>131465</v>
      </c>
    </row>
    <row r="40" spans="1:17" ht="15.6">
      <c r="A40" s="1701">
        <v>5</v>
      </c>
      <c r="B40" s="1706" t="s">
        <v>2678</v>
      </c>
      <c r="C40" s="1709" t="s">
        <v>2699</v>
      </c>
      <c r="D40" s="1707">
        <v>263</v>
      </c>
      <c r="E40" s="1707">
        <v>1251</v>
      </c>
      <c r="F40" s="1707">
        <v>1581</v>
      </c>
      <c r="G40" s="1707">
        <v>0</v>
      </c>
      <c r="H40" s="1707">
        <v>0</v>
      </c>
      <c r="I40" s="1707">
        <v>0</v>
      </c>
      <c r="J40" s="1707">
        <v>395</v>
      </c>
      <c r="K40" s="1707">
        <v>0</v>
      </c>
      <c r="L40" s="1707">
        <v>0</v>
      </c>
      <c r="M40" s="1704">
        <v>132</v>
      </c>
      <c r="N40" s="1704">
        <v>0</v>
      </c>
      <c r="O40" s="1704">
        <v>0</v>
      </c>
      <c r="P40" s="1704">
        <f t="shared" si="5"/>
        <v>3622</v>
      </c>
      <c r="Q40" s="1700">
        <f t="shared" si="6"/>
        <v>3622</v>
      </c>
    </row>
    <row r="41" spans="1:17" ht="15.6">
      <c r="A41" s="1701">
        <v>6</v>
      </c>
      <c r="B41" s="1706" t="s">
        <v>2678</v>
      </c>
      <c r="C41" s="1705" t="s">
        <v>2702</v>
      </c>
      <c r="D41" s="1707">
        <v>1798</v>
      </c>
      <c r="E41" s="1707">
        <v>899</v>
      </c>
      <c r="F41" s="1707">
        <v>3678</v>
      </c>
      <c r="G41" s="1707">
        <v>1962</v>
      </c>
      <c r="H41" s="1707">
        <v>2697</v>
      </c>
      <c r="I41" s="1707">
        <v>1226</v>
      </c>
      <c r="J41" s="1707">
        <v>1389</v>
      </c>
      <c r="K41" s="1707">
        <v>2779</v>
      </c>
      <c r="L41" s="1707">
        <v>4005</v>
      </c>
      <c r="M41" s="1704">
        <v>6538</v>
      </c>
      <c r="N41" s="1704">
        <v>4904</v>
      </c>
      <c r="O41" s="1704">
        <v>4904</v>
      </c>
      <c r="P41" s="1704">
        <f t="shared" si="5"/>
        <v>36779</v>
      </c>
      <c r="Q41" s="1700">
        <f t="shared" si="6"/>
        <v>36779</v>
      </c>
    </row>
    <row r="42" spans="1:17" ht="15.6">
      <c r="A42" s="1701">
        <v>7</v>
      </c>
      <c r="B42" s="1706" t="s">
        <v>2678</v>
      </c>
      <c r="C42" s="1705" t="s">
        <v>2703</v>
      </c>
      <c r="D42" s="1707">
        <v>2861</v>
      </c>
      <c r="E42" s="1707">
        <v>7067</v>
      </c>
      <c r="F42" s="1707">
        <v>12284</v>
      </c>
      <c r="G42" s="1707">
        <v>1346</v>
      </c>
      <c r="H42" s="1707">
        <v>6563</v>
      </c>
      <c r="I42" s="1707">
        <v>10096</v>
      </c>
      <c r="J42" s="1707">
        <v>12115</v>
      </c>
      <c r="K42" s="1707">
        <v>4712</v>
      </c>
      <c r="L42" s="1707">
        <v>9760</v>
      </c>
      <c r="M42" s="1707">
        <v>8582</v>
      </c>
      <c r="N42" s="1707">
        <v>1683</v>
      </c>
      <c r="O42" s="1707">
        <v>7572</v>
      </c>
      <c r="P42" s="1704">
        <f t="shared" si="5"/>
        <v>84641</v>
      </c>
      <c r="Q42" s="1700">
        <f t="shared" si="6"/>
        <v>84641</v>
      </c>
    </row>
    <row r="43" spans="1:17" ht="15.6">
      <c r="A43" s="1701">
        <v>8</v>
      </c>
      <c r="B43" s="1710" t="s">
        <v>2678</v>
      </c>
      <c r="C43" s="1705" t="s">
        <v>2706</v>
      </c>
      <c r="D43" s="1707">
        <v>1219</v>
      </c>
      <c r="E43" s="1707">
        <v>7219</v>
      </c>
      <c r="F43" s="1707">
        <v>7219</v>
      </c>
      <c r="G43" s="1707">
        <v>3656</v>
      </c>
      <c r="H43" s="1707">
        <v>8063</v>
      </c>
      <c r="I43" s="1707">
        <v>4688</v>
      </c>
      <c r="J43" s="1707">
        <v>7594</v>
      </c>
      <c r="K43" s="1707">
        <v>4500</v>
      </c>
      <c r="L43" s="1707">
        <v>7688</v>
      </c>
      <c r="M43" s="1707">
        <v>5719</v>
      </c>
      <c r="N43" s="1707">
        <v>2625</v>
      </c>
      <c r="O43" s="1707">
        <v>2156</v>
      </c>
      <c r="P43" s="1704">
        <f t="shared" si="5"/>
        <v>62346</v>
      </c>
      <c r="Q43" s="1700">
        <f t="shared" si="6"/>
        <v>62346</v>
      </c>
    </row>
    <row r="44" spans="1:17" ht="15.6">
      <c r="A44" s="1701">
        <v>9</v>
      </c>
      <c r="B44" s="1710" t="s">
        <v>2678</v>
      </c>
      <c r="C44" s="1705" t="s">
        <v>3079</v>
      </c>
      <c r="D44" s="1707">
        <v>1626</v>
      </c>
      <c r="E44" s="1707">
        <v>1626</v>
      </c>
      <c r="F44" s="1707">
        <v>5306</v>
      </c>
      <c r="G44" s="1707">
        <v>4193</v>
      </c>
      <c r="H44" s="1707">
        <v>4792</v>
      </c>
      <c r="I44" s="1707">
        <v>3166</v>
      </c>
      <c r="J44" s="1707">
        <v>4621</v>
      </c>
      <c r="K44" s="1707">
        <v>2482</v>
      </c>
      <c r="L44" s="1707">
        <v>3509</v>
      </c>
      <c r="M44" s="1707">
        <v>3765</v>
      </c>
      <c r="N44" s="1707">
        <v>3680</v>
      </c>
      <c r="O44" s="1707">
        <v>3509</v>
      </c>
      <c r="P44" s="1704">
        <f t="shared" si="5"/>
        <v>42275</v>
      </c>
      <c r="Q44" s="1700">
        <f t="shared" si="6"/>
        <v>42275</v>
      </c>
    </row>
    <row r="45" spans="1:17" ht="15.6">
      <c r="A45" s="1701">
        <v>10</v>
      </c>
      <c r="B45" s="1710" t="s">
        <v>2678</v>
      </c>
      <c r="C45" s="1705" t="s">
        <v>3080</v>
      </c>
      <c r="D45" s="1707">
        <v>5919</v>
      </c>
      <c r="E45" s="1707">
        <v>7399</v>
      </c>
      <c r="F45" s="1707">
        <v>9865</v>
      </c>
      <c r="G45" s="1707">
        <v>11427</v>
      </c>
      <c r="H45" s="1707">
        <v>9783</v>
      </c>
      <c r="I45" s="1707">
        <v>7481</v>
      </c>
      <c r="J45" s="1707">
        <v>8221</v>
      </c>
      <c r="K45" s="1707">
        <v>6248</v>
      </c>
      <c r="L45" s="1707">
        <v>6001</v>
      </c>
      <c r="M45" s="1707">
        <v>7399</v>
      </c>
      <c r="N45" s="1707">
        <v>8879</v>
      </c>
      <c r="O45" s="1707">
        <v>0</v>
      </c>
      <c r="P45" s="1704">
        <f t="shared" si="5"/>
        <v>88622</v>
      </c>
      <c r="Q45" s="1700">
        <f t="shared" si="6"/>
        <v>88622</v>
      </c>
    </row>
    <row r="46" spans="1:17" ht="15.6">
      <c r="A46" s="1701">
        <v>11</v>
      </c>
      <c r="B46" s="1710" t="s">
        <v>2678</v>
      </c>
      <c r="C46" s="1705" t="s">
        <v>3081</v>
      </c>
      <c r="D46" s="1707">
        <v>10670</v>
      </c>
      <c r="E46" s="1707">
        <v>11263</v>
      </c>
      <c r="F46" s="1707">
        <v>9814</v>
      </c>
      <c r="G46" s="1707">
        <v>11065</v>
      </c>
      <c r="H46" s="1707">
        <v>11263</v>
      </c>
      <c r="I46" s="1707">
        <v>11065</v>
      </c>
      <c r="J46" s="1707">
        <v>10934</v>
      </c>
      <c r="K46" s="1707">
        <v>9814</v>
      </c>
      <c r="L46" s="1707">
        <v>10209</v>
      </c>
      <c r="M46" s="1707">
        <v>9353</v>
      </c>
      <c r="N46" s="1707">
        <v>8958</v>
      </c>
      <c r="O46" s="1707">
        <v>3820</v>
      </c>
      <c r="P46" s="1704">
        <f t="shared" si="5"/>
        <v>118228</v>
      </c>
      <c r="Q46" s="1700">
        <f t="shared" si="6"/>
        <v>118228</v>
      </c>
    </row>
    <row r="47" spans="1:17" ht="15.6">
      <c r="A47" s="1711">
        <v>13</v>
      </c>
      <c r="B47" s="1706" t="s">
        <v>2678</v>
      </c>
      <c r="C47" s="1705" t="s">
        <v>3083</v>
      </c>
      <c r="D47" s="1707">
        <v>8827</v>
      </c>
      <c r="E47" s="1707">
        <v>11279</v>
      </c>
      <c r="F47" s="1707">
        <v>17409</v>
      </c>
      <c r="G47" s="1707">
        <v>15447</v>
      </c>
      <c r="H47" s="1707">
        <v>13976</v>
      </c>
      <c r="I47" s="1707">
        <v>19125</v>
      </c>
      <c r="J47" s="1707">
        <v>11279</v>
      </c>
      <c r="K47" s="1707">
        <v>8337</v>
      </c>
      <c r="L47" s="1707">
        <v>15938</v>
      </c>
      <c r="M47" s="1704">
        <v>13240</v>
      </c>
      <c r="N47" s="1704">
        <v>13731</v>
      </c>
      <c r="O47" s="1704">
        <v>27216</v>
      </c>
      <c r="P47" s="1704">
        <f t="shared" si="5"/>
        <v>175804</v>
      </c>
      <c r="Q47" s="1700">
        <f>+P47*50%</f>
        <v>87902</v>
      </c>
    </row>
    <row r="48" spans="1:17" ht="15.6">
      <c r="A48" s="1711"/>
      <c r="B48" s="1706"/>
      <c r="C48" s="1705"/>
      <c r="D48" s="1707"/>
      <c r="E48" s="1707"/>
      <c r="F48" s="1707"/>
      <c r="G48" s="1707"/>
      <c r="H48" s="1707"/>
      <c r="I48" s="1707"/>
      <c r="J48" s="1707"/>
      <c r="K48" s="1707"/>
      <c r="L48" s="1707"/>
      <c r="M48" s="1704"/>
      <c r="N48" s="1704"/>
      <c r="O48" s="1704"/>
      <c r="P48" s="1704"/>
      <c r="Q48" s="1729">
        <f>SUM(Q38:Q47)</f>
        <v>738401</v>
      </c>
    </row>
    <row r="50" spans="2:5">
      <c r="B50" s="1695"/>
      <c r="C50" s="1696" t="s">
        <v>3106</v>
      </c>
      <c r="D50" s="1697"/>
      <c r="E50" s="1698"/>
    </row>
    <row r="51" spans="2:5" ht="15.6">
      <c r="C51" s="1724" t="s">
        <v>3086</v>
      </c>
      <c r="D51" s="377">
        <v>3098.66</v>
      </c>
    </row>
    <row r="52" spans="2:5" ht="15.6">
      <c r="C52" s="1724" t="s">
        <v>3088</v>
      </c>
      <c r="D52" s="377">
        <v>277958.84999999998</v>
      </c>
    </row>
    <row r="53" spans="2:5" ht="15.6">
      <c r="C53" s="1724" t="s">
        <v>3107</v>
      </c>
      <c r="D53" s="377">
        <v>293375.40999999997</v>
      </c>
    </row>
    <row r="54" spans="2:5" ht="15.6">
      <c r="C54" s="1724" t="s">
        <v>3087</v>
      </c>
      <c r="D54" s="377">
        <v>76988.759999999995</v>
      </c>
    </row>
    <row r="55" spans="2:5" ht="13.8" thickBot="1">
      <c r="D55" s="1725">
        <f>SUM(D51:D54)</f>
        <v>651421.67999999993</v>
      </c>
    </row>
    <row r="56" spans="2:5" ht="13.8" thickTop="1"/>
    <row r="57" spans="2:5" ht="15.6">
      <c r="C57" s="1724" t="s">
        <v>3108</v>
      </c>
      <c r="D57" s="1726">
        <v>29925</v>
      </c>
    </row>
    <row r="58" spans="2:5">
      <c r="D58" s="1728">
        <f>SUM(D55:D57)</f>
        <v>681346.67999999993</v>
      </c>
    </row>
  </sheetData>
  <mergeCells count="5">
    <mergeCell ref="A1:P1"/>
    <mergeCell ref="A2:P2"/>
    <mergeCell ref="B3:C3"/>
    <mergeCell ref="Q4:Q5"/>
    <mergeCell ref="Q35:Q36"/>
  </mergeCells>
  <pageMargins left="0.78740157480314965" right="0.19685039370078741" top="0.19685039370078741" bottom="0.19685039370078741" header="0.31496062992125984" footer="0.31496062992125984"/>
  <pageSetup paperSize="9" scale="6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3"/>
  <sheetViews>
    <sheetView topLeftCell="A7" workbookViewId="0">
      <selection activeCell="C30" activeCellId="4" sqref="C6 C16 C21 C24 C30"/>
    </sheetView>
  </sheetViews>
  <sheetFormatPr defaultRowHeight="14.4"/>
  <cols>
    <col min="2" max="2" width="10.6640625" customWidth="1"/>
    <col min="3" max="3" width="12.6640625" customWidth="1"/>
    <col min="4" max="4" width="18.88671875" customWidth="1"/>
    <col min="5" max="5" width="11.33203125" bestFit="1" customWidth="1"/>
    <col min="7" max="7" width="13.44140625" bestFit="1" customWidth="1"/>
    <col min="8" max="8" width="22.44140625" bestFit="1" customWidth="1"/>
    <col min="9" max="9" width="10.33203125" bestFit="1" customWidth="1"/>
  </cols>
  <sheetData>
    <row r="2" spans="2:9">
      <c r="B2" s="146" t="s">
        <v>2962</v>
      </c>
    </row>
    <row r="3" spans="2:9">
      <c r="G3" t="s">
        <v>2967</v>
      </c>
      <c r="H3" t="s">
        <v>2968</v>
      </c>
    </row>
    <row r="4" spans="2:9">
      <c r="B4" s="2316" t="s">
        <v>443</v>
      </c>
      <c r="C4" s="2316"/>
      <c r="D4" s="2316"/>
      <c r="E4" s="2316"/>
      <c r="F4" s="1092"/>
      <c r="I4" s="467"/>
    </row>
    <row r="5" spans="2:9" ht="28.8">
      <c r="B5" s="1543" t="s">
        <v>2722</v>
      </c>
      <c r="C5" s="1543" t="s">
        <v>2963</v>
      </c>
      <c r="D5" s="1543" t="s">
        <v>2964</v>
      </c>
      <c r="E5" s="1543" t="s">
        <v>2965</v>
      </c>
      <c r="G5" s="1093"/>
      <c r="H5" s="1093"/>
    </row>
    <row r="6" spans="2:9">
      <c r="B6" s="1544">
        <v>44895</v>
      </c>
      <c r="C6" s="1082">
        <v>215515</v>
      </c>
      <c r="D6" s="1082">
        <f>+C6*0.195/12</f>
        <v>3502.1187500000001</v>
      </c>
      <c r="E6" s="1082">
        <f>+C6+D6</f>
        <v>219017.11874999999</v>
      </c>
      <c r="G6" s="1547">
        <v>44809</v>
      </c>
      <c r="H6" s="1547">
        <f>+G6+45</f>
        <v>44854</v>
      </c>
    </row>
    <row r="7" spans="2:9">
      <c r="B7" s="1544">
        <v>44926</v>
      </c>
      <c r="C7" s="1082">
        <f>+E6</f>
        <v>219017.11874999999</v>
      </c>
      <c r="D7" s="1082">
        <f>+C7*0.195/12</f>
        <v>3559.0281796875001</v>
      </c>
      <c r="E7" s="1082">
        <f>+C7+D7</f>
        <v>222576.1469296875</v>
      </c>
      <c r="G7" s="1093"/>
      <c r="H7" s="1093"/>
    </row>
    <row r="8" spans="2:9">
      <c r="B8" s="1544">
        <v>44957</v>
      </c>
      <c r="C8" s="1082">
        <f>+E7</f>
        <v>222576.1469296875</v>
      </c>
      <c r="D8" s="1082">
        <f>+C8*0.195/12</f>
        <v>3616.8623876074221</v>
      </c>
      <c r="E8" s="1082">
        <f>+C8+D8</f>
        <v>226193.00931729493</v>
      </c>
      <c r="G8" s="1093"/>
      <c r="H8" s="1093"/>
    </row>
    <row r="9" spans="2:9">
      <c r="B9" s="1544">
        <v>44985</v>
      </c>
      <c r="C9" s="1082">
        <f t="shared" ref="C9:C10" si="0">+E8</f>
        <v>226193.00931729493</v>
      </c>
      <c r="D9" s="1082">
        <f t="shared" ref="D9:D13" si="1">+C9*0.195/12</f>
        <v>3675.6364014060423</v>
      </c>
      <c r="E9" s="1082">
        <f t="shared" ref="E9:E12" si="2">+C9+D9</f>
        <v>229868.64571870098</v>
      </c>
      <c r="G9" s="1093"/>
      <c r="H9" s="1093"/>
    </row>
    <row r="10" spans="2:9">
      <c r="B10" s="1544">
        <v>45016</v>
      </c>
      <c r="C10" s="1082">
        <f t="shared" si="0"/>
        <v>229868.64571870098</v>
      </c>
      <c r="D10" s="1082">
        <f t="shared" si="1"/>
        <v>3735.3654929288909</v>
      </c>
      <c r="E10" s="1082">
        <f t="shared" si="2"/>
        <v>233604.01121162987</v>
      </c>
      <c r="G10" s="1093"/>
      <c r="H10" s="1093"/>
    </row>
    <row r="11" spans="2:9">
      <c r="B11" s="1544">
        <v>44957</v>
      </c>
      <c r="C11" s="1082">
        <v>228625</v>
      </c>
      <c r="D11" s="1082">
        <f t="shared" si="1"/>
        <v>3715.15625</v>
      </c>
      <c r="E11" s="1082">
        <f t="shared" si="2"/>
        <v>232340.15625</v>
      </c>
      <c r="G11" s="1547">
        <v>44874</v>
      </c>
      <c r="H11" s="1547">
        <f>+G11+45</f>
        <v>44919</v>
      </c>
    </row>
    <row r="12" spans="2:9">
      <c r="B12" s="1544">
        <v>44985</v>
      </c>
      <c r="C12" s="1084">
        <f>+E11</f>
        <v>232340.15625</v>
      </c>
      <c r="D12" s="1082">
        <f t="shared" si="1"/>
        <v>3775.5275390624997</v>
      </c>
      <c r="E12" s="1082">
        <f t="shared" si="2"/>
        <v>236115.68378906249</v>
      </c>
      <c r="G12" s="1093"/>
      <c r="H12" s="1093"/>
    </row>
    <row r="13" spans="2:9">
      <c r="B13" s="1544">
        <v>45016</v>
      </c>
      <c r="C13" s="1084">
        <f>+E12</f>
        <v>236115.68378906249</v>
      </c>
      <c r="D13" s="1082">
        <f t="shared" si="1"/>
        <v>3836.8798615722658</v>
      </c>
      <c r="E13" s="1082">
        <f t="shared" ref="E13" si="3">+C13+D13</f>
        <v>239952.56365063475</v>
      </c>
      <c r="G13" s="1093"/>
      <c r="H13" s="1093"/>
    </row>
    <row r="14" spans="2:9">
      <c r="B14" s="2314" t="s">
        <v>2966</v>
      </c>
      <c r="C14" s="2315"/>
      <c r="D14" s="1545">
        <f>SUM(D6:D13)</f>
        <v>29416.574862264621</v>
      </c>
      <c r="E14" s="1081"/>
      <c r="G14" s="1093"/>
      <c r="H14" s="1093"/>
    </row>
    <row r="15" spans="2:9">
      <c r="B15" s="2316" t="s">
        <v>447</v>
      </c>
      <c r="C15" s="2316"/>
      <c r="D15" s="2316"/>
      <c r="E15" s="2316"/>
      <c r="G15" s="1093"/>
      <c r="H15" s="1093"/>
    </row>
    <row r="16" spans="2:9">
      <c r="B16" s="1544">
        <v>44957</v>
      </c>
      <c r="C16" s="1082">
        <v>100000</v>
      </c>
      <c r="D16" s="1082">
        <f>+C16*0.195/12</f>
        <v>1625</v>
      </c>
      <c r="E16" s="1082">
        <f>+C16+D16</f>
        <v>101625</v>
      </c>
      <c r="G16" s="1547">
        <v>44893</v>
      </c>
      <c r="H16" s="1547">
        <f>+G16+45</f>
        <v>44938</v>
      </c>
    </row>
    <row r="17" spans="2:8">
      <c r="B17" s="1544">
        <v>44985</v>
      </c>
      <c r="C17" s="1082">
        <f>+E16</f>
        <v>101625</v>
      </c>
      <c r="D17" s="1082">
        <f>+C17*0.195/12</f>
        <v>1651.40625</v>
      </c>
      <c r="E17" s="1082">
        <f>+C17+D17</f>
        <v>103276.40625</v>
      </c>
      <c r="G17" s="1093"/>
      <c r="H17" s="1093"/>
    </row>
    <row r="18" spans="2:8">
      <c r="B18" s="1544">
        <v>45016</v>
      </c>
      <c r="C18" s="1082">
        <f>+E17</f>
        <v>103276.40625</v>
      </c>
      <c r="D18" s="1082">
        <f>+C18*0.195/12</f>
        <v>1678.2416015625001</v>
      </c>
      <c r="E18" s="1082">
        <f>+C18+D18</f>
        <v>104954.64785156251</v>
      </c>
      <c r="G18" s="1093"/>
      <c r="H18" s="1093"/>
    </row>
    <row r="19" spans="2:8">
      <c r="B19" s="2314" t="s">
        <v>2966</v>
      </c>
      <c r="C19" s="2315"/>
      <c r="D19" s="1546">
        <f>SUM(D16:D18)</f>
        <v>4954.6478515625004</v>
      </c>
      <c r="E19" s="1082"/>
      <c r="G19" s="1093"/>
      <c r="H19" s="1093"/>
    </row>
    <row r="20" spans="2:8">
      <c r="B20" s="2316" t="s">
        <v>663</v>
      </c>
      <c r="C20" s="2316"/>
      <c r="D20" s="2316"/>
      <c r="E20" s="2316"/>
      <c r="G20" s="1093"/>
      <c r="H20" s="1093"/>
    </row>
    <row r="21" spans="2:8">
      <c r="B21" s="1544">
        <v>45016</v>
      </c>
      <c r="C21" s="1082">
        <v>324000</v>
      </c>
      <c r="D21" s="1082">
        <f>+C21*0.195/12</f>
        <v>5265</v>
      </c>
      <c r="E21" s="1082">
        <f>+C21+D21</f>
        <v>329265</v>
      </c>
      <c r="G21" s="1547">
        <v>44933</v>
      </c>
      <c r="H21" s="1547">
        <f>+G21+45</f>
        <v>44978</v>
      </c>
    </row>
    <row r="22" spans="2:8">
      <c r="B22" s="2314" t="s">
        <v>2966</v>
      </c>
      <c r="C22" s="2315"/>
      <c r="D22" s="1546">
        <f>SUM(D21)</f>
        <v>5265</v>
      </c>
      <c r="E22" s="1081"/>
      <c r="G22" s="1093"/>
      <c r="H22" s="1093"/>
    </row>
    <row r="23" spans="2:8">
      <c r="B23" s="2316" t="s">
        <v>197</v>
      </c>
      <c r="C23" s="2316"/>
      <c r="D23" s="2316"/>
      <c r="E23" s="2316"/>
      <c r="G23" s="1093"/>
      <c r="H23" s="1093"/>
    </row>
    <row r="24" spans="2:8">
      <c r="B24" s="1544">
        <v>44957</v>
      </c>
      <c r="C24" s="1082">
        <v>115227</v>
      </c>
      <c r="D24" s="1082">
        <f>+C24*0.195/12</f>
        <v>1872.43875</v>
      </c>
      <c r="E24" s="1082">
        <f>+C24+D24</f>
        <v>117099.43875</v>
      </c>
      <c r="G24" s="1547">
        <v>44874</v>
      </c>
      <c r="H24" s="1547">
        <f>+G24+45</f>
        <v>44919</v>
      </c>
    </row>
    <row r="25" spans="2:8">
      <c r="B25" s="1544">
        <v>44985</v>
      </c>
      <c r="C25" s="1082">
        <f>+E24</f>
        <v>117099.43875</v>
      </c>
      <c r="D25" s="1082">
        <f>+C25*0.195/12</f>
        <v>1902.8658796875</v>
      </c>
      <c r="E25" s="1082">
        <f>+C25+D25</f>
        <v>119002.3046296875</v>
      </c>
      <c r="G25" s="1093"/>
      <c r="H25" s="1093"/>
    </row>
    <row r="26" spans="2:8">
      <c r="B26" s="1544">
        <v>45016</v>
      </c>
      <c r="C26" s="1082">
        <f>+E25</f>
        <v>119002.3046296875</v>
      </c>
      <c r="D26" s="1082">
        <f>+C26*0.195/12</f>
        <v>1933.7874502324219</v>
      </c>
      <c r="E26" s="1082">
        <f>+C26+D26</f>
        <v>120936.09207991992</v>
      </c>
      <c r="G26" s="1093"/>
      <c r="H26" s="1093"/>
    </row>
    <row r="27" spans="2:8">
      <c r="B27" s="1544">
        <v>45016</v>
      </c>
      <c r="C27" s="1082">
        <v>127440</v>
      </c>
      <c r="D27" s="1082">
        <f>+C27*0.195/12</f>
        <v>2070.9</v>
      </c>
      <c r="E27" s="1082">
        <f>+C27+D27</f>
        <v>129510.9</v>
      </c>
      <c r="G27" s="1547">
        <v>44943</v>
      </c>
      <c r="H27" s="1547">
        <f>+G27+45</f>
        <v>44988</v>
      </c>
    </row>
    <row r="28" spans="2:8">
      <c r="B28" s="2314" t="s">
        <v>2966</v>
      </c>
      <c r="C28" s="2315"/>
      <c r="D28" s="1545">
        <f>SUM(D24:D27)</f>
        <v>7779.9920799199226</v>
      </c>
      <c r="E28" s="1081"/>
      <c r="G28" s="1093"/>
      <c r="H28" s="1093"/>
    </row>
    <row r="29" spans="2:8">
      <c r="B29" s="2316" t="s">
        <v>596</v>
      </c>
      <c r="C29" s="2316"/>
      <c r="D29" s="2316"/>
      <c r="E29" s="2316"/>
      <c r="G29" s="1093"/>
      <c r="H29" s="1093"/>
    </row>
    <row r="30" spans="2:8">
      <c r="B30" s="1544">
        <v>45016</v>
      </c>
      <c r="C30" s="1082">
        <v>16788</v>
      </c>
      <c r="D30" s="1082">
        <f>+C30*0.195/12</f>
        <v>272.80500000000001</v>
      </c>
      <c r="E30" s="1082">
        <f>+C30+D30</f>
        <v>17060.805</v>
      </c>
      <c r="G30" s="1547">
        <v>44930</v>
      </c>
      <c r="H30" s="1547">
        <f>+G30+45</f>
        <v>44975</v>
      </c>
    </row>
    <row r="31" spans="2:8">
      <c r="B31" s="2314" t="s">
        <v>2966</v>
      </c>
      <c r="C31" s="2315"/>
      <c r="D31" s="1546">
        <f>SUM(D30)</f>
        <v>272.80500000000001</v>
      </c>
      <c r="E31" s="1082"/>
      <c r="G31" s="1093"/>
      <c r="H31" s="1093"/>
    </row>
    <row r="32" spans="2:8">
      <c r="B32" s="2316" t="s">
        <v>665</v>
      </c>
      <c r="C32" s="2316"/>
      <c r="D32" s="1545">
        <f>+D14+D19+D22+D28+D31</f>
        <v>47689.019793747044</v>
      </c>
      <c r="E32" s="1081"/>
      <c r="G32" s="1093"/>
      <c r="H32" s="1093"/>
    </row>
    <row r="33" spans="7:8">
      <c r="G33" s="1093"/>
      <c r="H33" s="1093"/>
    </row>
  </sheetData>
  <mergeCells count="11">
    <mergeCell ref="B4:E4"/>
    <mergeCell ref="B14:C14"/>
    <mergeCell ref="B15:E15"/>
    <mergeCell ref="B19:C19"/>
    <mergeCell ref="B29:E29"/>
    <mergeCell ref="B31:C31"/>
    <mergeCell ref="B32:C32"/>
    <mergeCell ref="B20:E20"/>
    <mergeCell ref="B22:C22"/>
    <mergeCell ref="B23:E23"/>
    <mergeCell ref="B28:C2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Y124"/>
  <sheetViews>
    <sheetView view="pageBreakPreview" zoomScale="60" zoomScaleNormal="80" workbookViewId="0">
      <selection activeCell="O79" sqref="O79"/>
    </sheetView>
  </sheetViews>
  <sheetFormatPr defaultColWidth="9.109375" defaultRowHeight="14.4"/>
  <cols>
    <col min="2" max="2" width="4.44140625" customWidth="1"/>
    <col min="5" max="5" width="42.5546875" bestFit="1" customWidth="1"/>
    <col min="6" max="6" width="1.44140625" customWidth="1"/>
    <col min="7" max="7" width="14.33203125" customWidth="1"/>
    <col min="8" max="8" width="36.6640625" bestFit="1" customWidth="1"/>
    <col min="9" max="9" width="34.33203125" bestFit="1" customWidth="1"/>
    <col min="10" max="10" width="16.109375" hidden="1" customWidth="1"/>
    <col min="11" max="11" width="19.88671875" hidden="1" customWidth="1"/>
    <col min="12" max="12" width="18.109375" bestFit="1" customWidth="1"/>
    <col min="13" max="13" width="19.33203125" bestFit="1" customWidth="1"/>
    <col min="14" max="14" width="19.33203125" customWidth="1"/>
    <col min="15" max="15" width="46.88671875" bestFit="1" customWidth="1"/>
    <col min="16" max="16" width="14.88671875" bestFit="1" customWidth="1"/>
    <col min="18" max="18" width="28.44140625" bestFit="1" customWidth="1"/>
    <col min="19" max="19" width="16.44140625" bestFit="1" customWidth="1"/>
    <col min="20" max="20" width="27.5546875" bestFit="1" customWidth="1"/>
    <col min="21" max="21" width="19" bestFit="1" customWidth="1"/>
    <col min="22" max="22" width="16.44140625" bestFit="1" customWidth="1"/>
    <col min="23" max="23" width="17.33203125" bestFit="1" customWidth="1"/>
    <col min="25" max="25" width="13.6640625" bestFit="1" customWidth="1"/>
  </cols>
  <sheetData>
    <row r="1" spans="2:14" ht="15" thickBot="1"/>
    <row r="2" spans="2:14" ht="15.6">
      <c r="B2" s="1447" t="s">
        <v>2538</v>
      </c>
      <c r="C2" s="1448"/>
      <c r="D2" s="1448"/>
      <c r="E2" s="1448"/>
      <c r="F2" s="1448"/>
      <c r="G2" s="1449" t="s">
        <v>2539</v>
      </c>
      <c r="H2" s="1450" t="s">
        <v>2198</v>
      </c>
      <c r="I2" s="1450"/>
      <c r="J2" s="1450"/>
      <c r="K2" s="1450"/>
      <c r="L2" s="1451"/>
      <c r="M2" s="1452"/>
      <c r="N2" s="807"/>
    </row>
    <row r="3" spans="2:14" ht="15.6">
      <c r="B3" s="1453"/>
      <c r="C3" s="809"/>
      <c r="D3" s="809"/>
      <c r="E3" s="809"/>
      <c r="F3" s="809"/>
      <c r="G3" s="810"/>
      <c r="H3" s="1454"/>
      <c r="I3" s="1454"/>
      <c r="J3" s="1454"/>
      <c r="K3" s="1454"/>
      <c r="L3" s="808"/>
      <c r="M3" s="1455"/>
      <c r="N3" s="807"/>
    </row>
    <row r="4" spans="2:14" ht="15.6">
      <c r="B4" s="1453" t="s">
        <v>2540</v>
      </c>
      <c r="C4" s="809"/>
      <c r="D4" s="809"/>
      <c r="E4" s="809"/>
      <c r="F4" s="809"/>
      <c r="G4" s="1456" t="s">
        <v>2539</v>
      </c>
      <c r="H4" s="1454" t="s">
        <v>2541</v>
      </c>
      <c r="I4" s="1454"/>
      <c r="J4" s="1454"/>
      <c r="K4" s="1454"/>
      <c r="L4" s="808"/>
      <c r="M4" s="1455"/>
      <c r="N4" s="807"/>
    </row>
    <row r="5" spans="2:14" ht="15.6">
      <c r="B5" s="1453"/>
      <c r="C5" s="809"/>
      <c r="D5" s="809"/>
      <c r="E5" s="809"/>
      <c r="F5" s="809"/>
      <c r="G5" s="810"/>
      <c r="H5" s="1454"/>
      <c r="I5" s="1454"/>
      <c r="J5" s="1454"/>
      <c r="K5" s="1454"/>
      <c r="L5" s="808"/>
      <c r="M5" s="1455"/>
      <c r="N5" s="807"/>
    </row>
    <row r="6" spans="2:14" ht="15.6">
      <c r="B6" s="1453" t="s">
        <v>2542</v>
      </c>
      <c r="C6" s="809"/>
      <c r="D6" s="809"/>
      <c r="E6" s="809"/>
      <c r="F6" s="809"/>
      <c r="G6" s="1456" t="s">
        <v>2539</v>
      </c>
      <c r="H6" s="1454" t="s">
        <v>991</v>
      </c>
      <c r="I6" s="1454"/>
      <c r="J6" s="1454"/>
      <c r="K6" s="1454"/>
      <c r="L6" s="808"/>
      <c r="M6" s="1455"/>
      <c r="N6" s="807"/>
    </row>
    <row r="7" spans="2:14" ht="15.6">
      <c r="B7" s="1453"/>
      <c r="C7" s="809"/>
      <c r="D7" s="809"/>
      <c r="E7" s="809"/>
      <c r="F7" s="809"/>
      <c r="G7" s="810"/>
      <c r="H7" s="1454"/>
      <c r="I7" s="1454"/>
      <c r="J7" s="1454"/>
      <c r="K7" s="1454"/>
      <c r="L7" s="808"/>
      <c r="M7" s="1455"/>
      <c r="N7" s="807"/>
    </row>
    <row r="8" spans="2:14" ht="15.6">
      <c r="B8" s="1453" t="s">
        <v>2543</v>
      </c>
      <c r="C8" s="809"/>
      <c r="D8" s="809"/>
      <c r="E8" s="809"/>
      <c r="F8" s="809"/>
      <c r="G8" s="1456" t="s">
        <v>2539</v>
      </c>
      <c r="H8" s="1454" t="s">
        <v>2639</v>
      </c>
      <c r="I8" s="1454"/>
      <c r="J8" s="1454"/>
      <c r="K8" s="1454"/>
      <c r="L8" s="808"/>
      <c r="M8" s="1455"/>
      <c r="N8" s="807"/>
    </row>
    <row r="9" spans="2:14" ht="15.6">
      <c r="B9" s="1453"/>
      <c r="C9" s="809"/>
      <c r="D9" s="809"/>
      <c r="E9" s="809"/>
      <c r="F9" s="809"/>
      <c r="G9" s="810"/>
      <c r="H9" s="1454"/>
      <c r="I9" s="1454"/>
      <c r="J9" s="1454"/>
      <c r="K9" s="1454"/>
      <c r="L9" s="808"/>
      <c r="M9" s="1455"/>
      <c r="N9" s="807"/>
    </row>
    <row r="10" spans="2:14" ht="15.6">
      <c r="B10" s="1453" t="s">
        <v>2544</v>
      </c>
      <c r="C10" s="809"/>
      <c r="D10" s="809"/>
      <c r="E10" s="809"/>
      <c r="F10" s="809"/>
      <c r="G10" s="1456" t="s">
        <v>2539</v>
      </c>
      <c r="H10" s="1454" t="s">
        <v>2640</v>
      </c>
      <c r="I10" s="1454"/>
      <c r="J10" s="1454"/>
      <c r="K10" s="1454"/>
      <c r="L10" s="808"/>
      <c r="M10" s="1455"/>
      <c r="N10" s="807"/>
    </row>
    <row r="11" spans="2:14" ht="15.6">
      <c r="B11" s="1457"/>
      <c r="C11" s="810"/>
      <c r="D11" s="810"/>
      <c r="E11" s="810"/>
      <c r="F11" s="810"/>
      <c r="G11" s="810"/>
      <c r="H11" s="810"/>
      <c r="I11" s="818"/>
      <c r="J11" s="818"/>
      <c r="K11" s="818"/>
      <c r="L11" s="813"/>
      <c r="M11" s="1455"/>
      <c r="N11" s="814"/>
    </row>
    <row r="12" spans="2:14" ht="15.75" customHeight="1">
      <c r="B12" s="2333" t="s">
        <v>2545</v>
      </c>
      <c r="C12" s="2334"/>
      <c r="D12" s="2334"/>
      <c r="E12" s="2334"/>
      <c r="F12" s="2334"/>
      <c r="G12" s="2334"/>
      <c r="H12" s="2334"/>
      <c r="I12" s="2334"/>
      <c r="J12" s="2334"/>
      <c r="K12" s="2334"/>
      <c r="L12" s="2334"/>
      <c r="M12" s="2335"/>
      <c r="N12" s="815"/>
    </row>
    <row r="13" spans="2:14" ht="15.6">
      <c r="B13" s="1458"/>
      <c r="C13" s="1459"/>
      <c r="D13" s="1459"/>
      <c r="E13" s="1459"/>
      <c r="F13" s="1459"/>
      <c r="G13" s="1459"/>
      <c r="H13" s="1459"/>
      <c r="I13" s="1460"/>
      <c r="J13" s="2336" t="s">
        <v>2546</v>
      </c>
      <c r="K13" s="2336"/>
      <c r="L13" s="2336" t="s">
        <v>2547</v>
      </c>
      <c r="M13" s="2337"/>
      <c r="N13" s="815"/>
    </row>
    <row r="14" spans="2:14" ht="15.6">
      <c r="B14" s="1457"/>
      <c r="C14" s="810"/>
      <c r="D14" s="810"/>
      <c r="E14" s="810"/>
      <c r="F14" s="810"/>
      <c r="G14" s="810"/>
      <c r="H14" s="810"/>
      <c r="I14" s="816"/>
      <c r="J14" s="2338" t="s">
        <v>2548</v>
      </c>
      <c r="K14" s="2338"/>
      <c r="L14" s="148"/>
      <c r="M14" s="1461"/>
    </row>
    <row r="15" spans="2:14" ht="15.6">
      <c r="B15" s="1462" t="s">
        <v>2549</v>
      </c>
      <c r="C15" s="810"/>
      <c r="D15" s="810"/>
      <c r="E15" s="810"/>
      <c r="F15" s="810"/>
      <c r="G15" s="810"/>
      <c r="H15" s="810"/>
      <c r="I15" s="816"/>
      <c r="J15" s="817"/>
      <c r="K15" s="817">
        <f>+BSPL!G99</f>
        <v>-37729675.915287264</v>
      </c>
      <c r="L15" s="817"/>
      <c r="M15" s="1463">
        <f>+BSPL!G92</f>
        <v>-49775047.946512461</v>
      </c>
      <c r="N15" s="818"/>
    </row>
    <row r="16" spans="2:14" ht="15.6">
      <c r="B16" s="1462"/>
      <c r="C16" s="810"/>
      <c r="D16" s="810"/>
      <c r="E16" s="810"/>
      <c r="F16" s="810"/>
      <c r="G16" s="810"/>
      <c r="H16" s="1464"/>
      <c r="I16" s="816"/>
      <c r="J16" s="817"/>
      <c r="K16" s="817"/>
      <c r="L16" s="817"/>
      <c r="M16" s="1463"/>
      <c r="N16" s="818"/>
    </row>
    <row r="17" spans="2:20" ht="15.6">
      <c r="B17" s="1465" t="s">
        <v>2550</v>
      </c>
      <c r="C17" s="810"/>
      <c r="D17" s="810"/>
      <c r="E17" s="810"/>
      <c r="F17" s="810"/>
      <c r="G17" s="810"/>
      <c r="H17" s="1464"/>
      <c r="I17" s="816"/>
      <c r="J17" s="817"/>
      <c r="K17" s="817"/>
      <c r="L17" s="817"/>
      <c r="M17" s="1463"/>
      <c r="N17" s="818"/>
      <c r="S17" s="819" t="s">
        <v>2379</v>
      </c>
      <c r="T17" s="819" t="s">
        <v>2551</v>
      </c>
    </row>
    <row r="18" spans="2:20" ht="15.6">
      <c r="B18" s="1462"/>
      <c r="C18" s="1466" t="s">
        <v>2552</v>
      </c>
      <c r="D18" s="1466"/>
      <c r="E18" s="810"/>
      <c r="F18" s="810"/>
      <c r="G18" s="810"/>
      <c r="H18" s="810"/>
      <c r="I18" s="820"/>
      <c r="J18" s="821">
        <f>+BSPL!G86</f>
        <v>18081667</v>
      </c>
      <c r="K18" s="817"/>
      <c r="L18" s="821">
        <f t="shared" ref="L18:L25" si="0">+J18</f>
        <v>18081667</v>
      </c>
      <c r="M18" s="1463"/>
      <c r="N18" s="818"/>
      <c r="R18" t="s">
        <v>298</v>
      </c>
      <c r="S18" s="819" t="e">
        <f>+GETPIVOTDATA("Sum of Dr. Final HYR",[73]Pivot!$A$3,"PARTICULARS","PENALTY ON CGST","Note",26,"BS Main Head","Other Expenses","BS Sub Head","Establishment Expenses-Rates &amp; Taxes")</f>
        <v>#REF!</v>
      </c>
      <c r="T18" s="819">
        <v>75</v>
      </c>
    </row>
    <row r="19" spans="2:20" ht="15.6">
      <c r="B19" s="1462"/>
      <c r="C19" s="1466" t="s">
        <v>2553</v>
      </c>
      <c r="D19" s="1466"/>
      <c r="E19" s="810"/>
      <c r="F19" s="810"/>
      <c r="G19" s="810"/>
      <c r="H19" s="810"/>
      <c r="I19" s="820"/>
      <c r="J19" s="821">
        <f>+GETPIVOTDATA("Sum of Dr. Final 22-23",Pivot!$A$3,"PARTICULARS","Gratuity To Staff","Note",25,"BS Main Head","Employee Benefit Expenses","BS Sub Head","Contribution to Funds")</f>
        <v>871518</v>
      </c>
      <c r="K19" s="817"/>
      <c r="L19" s="821">
        <f>+J19</f>
        <v>871518</v>
      </c>
      <c r="M19" s="1463"/>
      <c r="N19" s="818"/>
      <c r="R19" t="s">
        <v>299</v>
      </c>
      <c r="S19" s="819"/>
      <c r="T19" s="819">
        <v>3000</v>
      </c>
    </row>
    <row r="20" spans="2:20" ht="15.6">
      <c r="B20" s="1462"/>
      <c r="C20" s="1466" t="s">
        <v>163</v>
      </c>
      <c r="D20" s="1466"/>
      <c r="E20" s="810"/>
      <c r="F20" s="810"/>
      <c r="G20" s="810"/>
      <c r="H20" s="810"/>
      <c r="I20" s="816"/>
      <c r="J20" s="821">
        <f>+GETPIVOTDATA("Sum of Dr. Final 22-23",Pivot!$A$3,"PARTICULARS","Donation Account","Note",27,"BS Main Head","Other - Establishment Expenses","BS Sub Head","Donation")</f>
        <v>37500</v>
      </c>
      <c r="K20" s="817"/>
      <c r="L20" s="821">
        <f>+J20</f>
        <v>37500</v>
      </c>
      <c r="M20" s="1463"/>
      <c r="N20" s="818"/>
      <c r="R20" t="s">
        <v>2554</v>
      </c>
      <c r="S20" s="819"/>
      <c r="T20" s="819">
        <v>19678</v>
      </c>
    </row>
    <row r="21" spans="2:20" ht="15.6">
      <c r="B21" s="1462"/>
      <c r="C21" s="1466" t="s">
        <v>68</v>
      </c>
      <c r="D21" s="1466"/>
      <c r="E21" s="810"/>
      <c r="F21" s="810"/>
      <c r="G21" s="810"/>
      <c r="H21" s="810"/>
      <c r="I21" s="820"/>
      <c r="J21" s="821">
        <v>0</v>
      </c>
      <c r="K21" s="817"/>
      <c r="L21" s="821">
        <v>0</v>
      </c>
      <c r="M21" s="1463"/>
      <c r="N21" s="818"/>
      <c r="R21" t="s">
        <v>2555</v>
      </c>
      <c r="S21" s="819"/>
      <c r="T21" s="819">
        <v>0</v>
      </c>
    </row>
    <row r="22" spans="2:20" ht="15.6">
      <c r="B22" s="1462"/>
      <c r="C22" s="1466" t="s">
        <v>231</v>
      </c>
      <c r="D22" s="1466"/>
      <c r="E22" s="810"/>
      <c r="F22" s="810"/>
      <c r="G22" s="810"/>
      <c r="H22" s="810"/>
      <c r="I22" s="816"/>
      <c r="J22" s="821">
        <v>0</v>
      </c>
      <c r="K22" s="817"/>
      <c r="L22" s="821">
        <v>0</v>
      </c>
      <c r="M22" s="1463"/>
      <c r="N22" s="818"/>
      <c r="R22" t="s">
        <v>2556</v>
      </c>
      <c r="S22" s="819"/>
      <c r="T22" s="819">
        <v>0</v>
      </c>
    </row>
    <row r="23" spans="2:20" ht="15.6">
      <c r="B23" s="1462"/>
      <c r="C23" s="1466" t="s">
        <v>2557</v>
      </c>
      <c r="D23" s="1466"/>
      <c r="E23" s="810"/>
      <c r="F23" s="810"/>
      <c r="G23" s="810"/>
      <c r="H23" s="810"/>
      <c r="I23" s="820"/>
      <c r="J23" s="821">
        <v>0</v>
      </c>
      <c r="K23" s="817"/>
      <c r="L23" s="821">
        <v>0</v>
      </c>
      <c r="M23" s="1463"/>
      <c r="N23" s="818"/>
      <c r="R23" t="s">
        <v>300</v>
      </c>
      <c r="S23" s="819" t="e">
        <f>+GETPIVOTDATA("Sum of Dr. Final HYR",[73]Pivot!$A$3,"PARTICULARS","PENALTY ON SGST","Note",26,"BS Main Head","Other Expenses","BS Sub Head","Establishment Expenses-Rates &amp; Taxes")</f>
        <v>#REF!</v>
      </c>
      <c r="T23" s="819">
        <v>75</v>
      </c>
    </row>
    <row r="24" spans="2:20" ht="15.6">
      <c r="B24" s="1462"/>
      <c r="C24" s="1466" t="s">
        <v>2558</v>
      </c>
      <c r="D24" s="1466"/>
      <c r="E24" s="810"/>
      <c r="F24" s="810"/>
      <c r="G24" s="810"/>
      <c r="H24" s="810"/>
      <c r="I24" s="820"/>
      <c r="J24" s="821">
        <v>0</v>
      </c>
      <c r="K24" s="817"/>
      <c r="L24" s="821">
        <f>+GETPIVOTDATA("Sum of Dr. Final 22-23",Pivot!$A$3,"PARTICULARS","PENALTY ON CGST","Note",27,"BS Main Head","Other - Establishment Expenses","BS Sub Head","Rates &amp; Taxes")+GETPIVOTDATA("Sum of Dr. Final 22-23",Pivot!$A$3,"PARTICULARS","Penalty on Custom Duty","Note",27,"BS Main Head","Other - Establishment Expenses","BS Sub Head","Rates &amp; Taxes")+GETPIVOTDATA("Sum of Dr. Final 22-23",Pivot!$A$3,"PARTICULARS","PENALTY ON SGST","Note",27,"BS Main Head","Other - Establishment Expenses","BS Sub Head","Rates &amp; Taxes")+GETPIVOTDATA("Sum of Dr. Final 22-23",Pivot!$A$3,"PARTICULARS","Penalty on TDS","Note",27,"BS Main Head","Other - Establishment Expenses","BS Sub Head","Rates &amp; Taxes")</f>
        <v>229406</v>
      </c>
      <c r="M24" s="1463"/>
      <c r="N24" s="818"/>
      <c r="P24" s="136">
        <f>+J19+[72]BSPL!F106</f>
        <v>685267</v>
      </c>
      <c r="R24" t="s">
        <v>301</v>
      </c>
      <c r="S24" s="819">
        <v>0</v>
      </c>
      <c r="T24" s="819">
        <v>33000</v>
      </c>
    </row>
    <row r="25" spans="2:20" ht="15.6">
      <c r="B25" s="1462"/>
      <c r="C25" s="1466" t="s">
        <v>2559</v>
      </c>
      <c r="D25" s="1466"/>
      <c r="E25" s="810"/>
      <c r="F25" s="810"/>
      <c r="G25" s="810"/>
      <c r="H25" s="810"/>
      <c r="I25" s="820"/>
      <c r="J25" s="821">
        <v>0</v>
      </c>
      <c r="K25" s="817"/>
      <c r="L25" s="821">
        <f t="shared" si="0"/>
        <v>0</v>
      </c>
      <c r="M25" s="1463"/>
      <c r="N25" s="818"/>
      <c r="S25" s="819"/>
      <c r="T25" s="819"/>
    </row>
    <row r="26" spans="2:20" ht="15.6">
      <c r="B26" s="1462"/>
      <c r="C26" s="1466" t="s">
        <v>232</v>
      </c>
      <c r="D26" s="810"/>
      <c r="E26" s="810"/>
      <c r="F26" s="810"/>
      <c r="G26" s="810"/>
      <c r="H26" s="810"/>
      <c r="I26" s="822"/>
      <c r="J26" s="823">
        <v>0</v>
      </c>
      <c r="K26" s="824">
        <f>SUM(J18:J26)</f>
        <v>18990685</v>
      </c>
      <c r="L26" s="823">
        <f>+GETPIVOTDATA("Sum of Dr. Final 22-23",Pivot!$A$3,"PARTICULARS","INTEREST ON PROFESSIONAL TAX","Note",27,"BS Main Head","Other - Establishment Expenses","BS Sub Head","Rates &amp; Taxes")</f>
        <v>2700</v>
      </c>
      <c r="M26" s="1467">
        <f>SUM(L18:L26)</f>
        <v>19222791</v>
      </c>
      <c r="N26" s="825"/>
      <c r="O26" s="630">
        <f>+J19-J35</f>
        <v>871518</v>
      </c>
    </row>
    <row r="27" spans="2:20" ht="15.6">
      <c r="B27" s="1462"/>
      <c r="C27" s="1466"/>
      <c r="D27" s="810"/>
      <c r="E27" s="810"/>
      <c r="F27" s="810"/>
      <c r="G27" s="810"/>
      <c r="H27" s="1464"/>
      <c r="I27" s="822"/>
      <c r="J27" s="817"/>
      <c r="K27" s="826">
        <f>K15+K26</f>
        <v>-18738990.915287264</v>
      </c>
      <c r="L27" s="817"/>
      <c r="M27" s="1468">
        <f>M15+M26</f>
        <v>-30552256.946512461</v>
      </c>
      <c r="N27" s="807"/>
    </row>
    <row r="28" spans="2:20" ht="15.6">
      <c r="B28" s="1457"/>
      <c r="C28" s="810"/>
      <c r="D28" s="810"/>
      <c r="E28" s="810"/>
      <c r="F28" s="810"/>
      <c r="G28" s="810"/>
      <c r="H28" s="1464"/>
      <c r="I28" s="827"/>
      <c r="J28" s="828"/>
      <c r="K28" s="828"/>
      <c r="L28" s="828"/>
      <c r="M28" s="1469"/>
      <c r="N28" s="825"/>
    </row>
    <row r="29" spans="2:20" ht="15.6">
      <c r="B29" s="1465" t="s">
        <v>2560</v>
      </c>
      <c r="C29" s="810"/>
      <c r="D29" s="810"/>
      <c r="E29" s="810"/>
      <c r="F29" s="810"/>
      <c r="G29" s="810"/>
      <c r="H29" s="1470"/>
      <c r="I29" s="816"/>
      <c r="J29" s="817"/>
      <c r="K29" s="817"/>
      <c r="L29" s="817"/>
      <c r="M29" s="1463"/>
      <c r="N29" s="816"/>
      <c r="O29" s="829" t="s">
        <v>2561</v>
      </c>
      <c r="P29" s="152" t="s">
        <v>2152</v>
      </c>
    </row>
    <row r="30" spans="2:20" ht="15.6">
      <c r="B30" s="1462"/>
      <c r="C30" s="810" t="s">
        <v>2562</v>
      </c>
      <c r="D30" s="810"/>
      <c r="E30" s="1471"/>
      <c r="F30" s="1472"/>
      <c r="G30" s="1472"/>
      <c r="H30" s="1470"/>
      <c r="I30" s="816"/>
      <c r="J30" s="817">
        <f>+'IT Dep'!O61</f>
        <v>12720999.114633983</v>
      </c>
      <c r="K30" s="817"/>
      <c r="L30" s="817">
        <f>+J30</f>
        <v>12720999.114633983</v>
      </c>
      <c r="M30" s="1463"/>
      <c r="N30" s="816"/>
      <c r="O30" s="152" t="s">
        <v>2563</v>
      </c>
      <c r="P30" s="658">
        <v>909877</v>
      </c>
      <c r="R30">
        <f>5500000*0.15</f>
        <v>825000</v>
      </c>
    </row>
    <row r="31" spans="2:20" ht="15.6">
      <c r="B31" s="1462" t="s">
        <v>2564</v>
      </c>
      <c r="C31" s="1473"/>
      <c r="D31" s="1473"/>
      <c r="E31" s="810"/>
      <c r="F31" s="810"/>
      <c r="G31" s="810"/>
      <c r="H31" s="810"/>
      <c r="I31" s="816"/>
      <c r="J31" s="817"/>
      <c r="K31" s="817"/>
      <c r="L31" s="817"/>
      <c r="M31" s="1463"/>
      <c r="N31" s="816"/>
      <c r="O31" s="152" t="s">
        <v>2565</v>
      </c>
      <c r="P31" s="658">
        <v>1385050</v>
      </c>
    </row>
    <row r="32" spans="2:20" ht="15.6">
      <c r="B32" s="1453"/>
      <c r="C32" s="810"/>
      <c r="D32" s="810"/>
      <c r="E32" s="810"/>
      <c r="F32" s="810"/>
      <c r="G32" s="810"/>
      <c r="H32" s="810"/>
      <c r="I32" s="816"/>
      <c r="J32" s="817"/>
      <c r="K32" s="817"/>
      <c r="L32" s="817"/>
      <c r="M32" s="1463"/>
      <c r="N32" s="816"/>
      <c r="O32" s="152" t="s">
        <v>163</v>
      </c>
      <c r="P32" s="658">
        <v>56000</v>
      </c>
    </row>
    <row r="33" spans="2:25" ht="15.6">
      <c r="B33" s="1462" t="s">
        <v>2566</v>
      </c>
      <c r="C33" s="1473"/>
      <c r="D33" s="1473"/>
      <c r="E33" s="810"/>
      <c r="F33" s="810"/>
      <c r="G33" s="810"/>
      <c r="H33" s="810"/>
      <c r="I33" s="816"/>
      <c r="J33" s="817">
        <v>0</v>
      </c>
      <c r="K33" s="817"/>
      <c r="L33" s="817"/>
      <c r="M33" s="1463"/>
      <c r="N33" s="816"/>
      <c r="O33" s="829" t="s">
        <v>2567</v>
      </c>
      <c r="P33" s="658"/>
    </row>
    <row r="34" spans="2:25" ht="15.6">
      <c r="B34" s="1474"/>
      <c r="C34" s="810"/>
      <c r="D34" s="810"/>
      <c r="E34" s="810"/>
      <c r="F34" s="810"/>
      <c r="G34" s="810"/>
      <c r="H34" s="810"/>
      <c r="I34" s="816"/>
      <c r="J34" s="817"/>
      <c r="K34" s="817"/>
      <c r="L34" s="817"/>
      <c r="M34" s="1463"/>
      <c r="N34" s="816"/>
      <c r="O34" s="152" t="s">
        <v>231</v>
      </c>
      <c r="P34" s="658">
        <v>19982</v>
      </c>
    </row>
    <row r="35" spans="2:25" ht="15.6">
      <c r="B35" s="1474"/>
      <c r="C35" s="810" t="s">
        <v>2568</v>
      </c>
      <c r="D35" s="810"/>
      <c r="E35" s="810"/>
      <c r="F35" s="810"/>
      <c r="G35" s="810"/>
      <c r="H35" s="810"/>
      <c r="I35" s="816"/>
      <c r="J35" s="817">
        <v>0</v>
      </c>
      <c r="K35" s="817"/>
      <c r="L35" s="821">
        <v>382995</v>
      </c>
      <c r="M35" s="1463"/>
      <c r="N35" s="816"/>
      <c r="O35" s="829" t="s">
        <v>2569</v>
      </c>
      <c r="P35" s="658"/>
    </row>
    <row r="36" spans="2:25" ht="15.6">
      <c r="B36" s="1474"/>
      <c r="C36" s="810" t="s">
        <v>2570</v>
      </c>
      <c r="D36" s="810"/>
      <c r="E36" s="810"/>
      <c r="F36" s="810"/>
      <c r="G36" s="810"/>
      <c r="H36" s="810"/>
      <c r="I36" s="816"/>
      <c r="J36" s="817"/>
      <c r="K36" s="817"/>
      <c r="L36" s="817">
        <v>0</v>
      </c>
      <c r="M36" s="1463"/>
      <c r="N36" s="816"/>
      <c r="O36" s="152" t="s">
        <v>2571</v>
      </c>
      <c r="P36" s="658">
        <v>795803</v>
      </c>
    </row>
    <row r="37" spans="2:25" ht="15.6">
      <c r="B37" s="1474"/>
      <c r="C37" s="1466" t="s">
        <v>2572</v>
      </c>
      <c r="D37" s="810"/>
      <c r="E37" s="810"/>
      <c r="F37" s="810"/>
      <c r="G37" s="810"/>
      <c r="H37" s="810"/>
      <c r="I37" s="816"/>
      <c r="J37" s="831">
        <v>0</v>
      </c>
      <c r="K37" s="817">
        <f>SUM(J30:J37)</f>
        <v>12720999.114633983</v>
      </c>
      <c r="L37" s="821">
        <v>679600</v>
      </c>
      <c r="M37" s="1463">
        <f>SUM(L30:L37)</f>
        <v>13783594.114633983</v>
      </c>
      <c r="N37" s="816"/>
      <c r="O37" s="152" t="s">
        <v>2573</v>
      </c>
      <c r="P37" s="658">
        <v>1301094</v>
      </c>
    </row>
    <row r="38" spans="2:25" ht="15.6">
      <c r="B38" s="1457"/>
      <c r="C38" s="1473"/>
      <c r="D38" s="1473"/>
      <c r="E38" s="810"/>
      <c r="F38" s="810"/>
      <c r="G38" s="810"/>
      <c r="H38" s="809" t="s">
        <v>2574</v>
      </c>
      <c r="I38" s="832" t="s">
        <v>2575</v>
      </c>
      <c r="J38" s="817"/>
      <c r="K38" s="1475">
        <f>K27-K37</f>
        <v>-31459990.029921249</v>
      </c>
      <c r="L38" s="817"/>
      <c r="M38" s="1476">
        <f>M27-M37</f>
        <v>-44335851.061146446</v>
      </c>
      <c r="N38" s="811"/>
      <c r="O38" s="829" t="s">
        <v>2576</v>
      </c>
      <c r="P38" s="658"/>
    </row>
    <row r="39" spans="2:25" ht="15.6">
      <c r="B39" s="1457" t="s">
        <v>2577</v>
      </c>
      <c r="C39" s="1473"/>
      <c r="D39" s="1473"/>
      <c r="E39" s="810"/>
      <c r="F39" s="810"/>
      <c r="G39" s="810"/>
      <c r="H39" s="810"/>
      <c r="I39" s="832"/>
      <c r="J39" s="817">
        <v>0</v>
      </c>
      <c r="K39" s="817"/>
      <c r="L39" s="817">
        <v>0</v>
      </c>
      <c r="M39" s="1463"/>
      <c r="N39" s="816"/>
      <c r="O39" s="152" t="s">
        <v>2578</v>
      </c>
      <c r="P39" s="658">
        <v>-438120</v>
      </c>
    </row>
    <row r="40" spans="2:25" ht="15.6">
      <c r="B40" s="1457" t="s">
        <v>2579</v>
      </c>
      <c r="C40" s="1473"/>
      <c r="D40" s="1473"/>
      <c r="E40" s="810"/>
      <c r="F40" s="810"/>
      <c r="G40" s="810"/>
      <c r="H40" s="810"/>
      <c r="I40" s="816"/>
      <c r="J40" s="817">
        <f>J39</f>
        <v>0</v>
      </c>
      <c r="K40" s="817"/>
      <c r="L40" s="817">
        <f>L39</f>
        <v>0</v>
      </c>
      <c r="M40" s="1463"/>
      <c r="N40" s="816"/>
      <c r="O40" s="152" t="s">
        <v>2580</v>
      </c>
      <c r="P40" s="658">
        <v>-1259230</v>
      </c>
    </row>
    <row r="41" spans="2:25" ht="15.6">
      <c r="B41" s="1457"/>
      <c r="C41" s="810"/>
      <c r="D41" s="810"/>
      <c r="E41" s="810"/>
      <c r="F41" s="810"/>
      <c r="G41" s="810"/>
      <c r="H41" s="810"/>
      <c r="I41" s="832"/>
      <c r="J41" s="833"/>
      <c r="K41" s="833"/>
      <c r="L41" s="833"/>
      <c r="M41" s="1477"/>
      <c r="N41" s="837"/>
      <c r="O41" s="477" t="s">
        <v>2581</v>
      </c>
      <c r="P41" s="834">
        <f>+SUM(P30:P40)</f>
        <v>2770456</v>
      </c>
    </row>
    <row r="42" spans="2:25" ht="16.2" thickBot="1">
      <c r="B42" s="1457"/>
      <c r="C42" s="810"/>
      <c r="D42" s="810"/>
      <c r="E42" s="810"/>
      <c r="F42" s="810"/>
      <c r="G42" s="810"/>
      <c r="H42" s="809"/>
      <c r="I42" s="832"/>
      <c r="J42" s="833"/>
      <c r="K42" s="835">
        <f>SUM(K38:K40)</f>
        <v>-31459990.029921249</v>
      </c>
      <c r="L42" s="833"/>
      <c r="M42" s="1478">
        <f>SUM(M38:M40)</f>
        <v>-44335851.061146446</v>
      </c>
      <c r="N42" s="836"/>
    </row>
    <row r="43" spans="2:25" ht="16.2" thickTop="1">
      <c r="B43" s="1457"/>
      <c r="C43" s="810"/>
      <c r="D43" s="810"/>
      <c r="E43" s="810"/>
      <c r="F43" s="810"/>
      <c r="G43" s="810"/>
      <c r="H43" s="810"/>
      <c r="I43" s="832"/>
      <c r="J43" s="833"/>
      <c r="K43" s="833"/>
      <c r="L43" s="833"/>
      <c r="M43" s="1477"/>
      <c r="N43" s="837"/>
      <c r="O43" s="12">
        <f>+M44-K44</f>
        <v>0</v>
      </c>
    </row>
    <row r="44" spans="2:25" ht="15.6">
      <c r="B44" s="1457"/>
      <c r="C44" s="810"/>
      <c r="D44" s="810"/>
      <c r="E44" s="810"/>
      <c r="F44" s="810"/>
      <c r="G44" s="810" t="s">
        <v>2582</v>
      </c>
      <c r="H44" s="810"/>
      <c r="I44" s="832"/>
      <c r="J44" s="833"/>
      <c r="K44" s="833">
        <v>0</v>
      </c>
      <c r="L44" s="833"/>
      <c r="M44" s="1479">
        <v>0</v>
      </c>
      <c r="N44" s="838"/>
      <c r="O44" s="839">
        <f>+M76</f>
        <v>-813908</v>
      </c>
    </row>
    <row r="45" spans="2:25" ht="15.6">
      <c r="B45" s="1457"/>
      <c r="C45" s="810"/>
      <c r="D45" s="810"/>
      <c r="E45" s="810"/>
      <c r="F45" s="810"/>
      <c r="G45" s="810"/>
      <c r="H45" s="810"/>
      <c r="I45" s="832"/>
      <c r="J45" s="833"/>
      <c r="K45" s="833"/>
      <c r="L45" s="833"/>
      <c r="M45" s="1477"/>
      <c r="N45" s="837"/>
    </row>
    <row r="46" spans="2:25" ht="16.2" thickBot="1">
      <c r="B46" s="1457"/>
      <c r="C46" s="810"/>
      <c r="D46" s="810"/>
      <c r="E46" s="810"/>
      <c r="F46" s="810"/>
      <c r="G46" s="810"/>
      <c r="H46" s="809" t="s">
        <v>2574</v>
      </c>
      <c r="I46" s="832"/>
      <c r="J46" s="833"/>
      <c r="K46" s="840">
        <f>K42-K44</f>
        <v>-31459990.029921249</v>
      </c>
      <c r="L46" s="833"/>
      <c r="M46" s="1480">
        <f>M42-M44</f>
        <v>-44335851.061146446</v>
      </c>
      <c r="N46" s="841"/>
      <c r="Q46" s="810" t="s">
        <v>2583</v>
      </c>
    </row>
    <row r="47" spans="2:25" ht="60.6" thickTop="1" thickBot="1">
      <c r="B47" s="1457"/>
      <c r="C47" s="810"/>
      <c r="D47" s="810"/>
      <c r="E47" s="810"/>
      <c r="F47" s="810"/>
      <c r="G47" s="810"/>
      <c r="H47" s="810"/>
      <c r="I47" s="832"/>
      <c r="J47" s="833"/>
      <c r="K47" s="833"/>
      <c r="L47" s="833"/>
      <c r="M47" s="1477"/>
      <c r="N47" s="837"/>
      <c r="Q47" s="842" t="s">
        <v>2584</v>
      </c>
      <c r="R47" s="843" t="s">
        <v>2585</v>
      </c>
      <c r="S47" s="843" t="s">
        <v>2586</v>
      </c>
      <c r="T47" s="843" t="s">
        <v>2587</v>
      </c>
      <c r="U47" s="843" t="s">
        <v>2588</v>
      </c>
      <c r="V47" s="843" t="s">
        <v>2589</v>
      </c>
      <c r="W47" s="843" t="s">
        <v>2590</v>
      </c>
      <c r="X47" s="843" t="s">
        <v>2591</v>
      </c>
      <c r="Y47" s="843" t="s">
        <v>994</v>
      </c>
    </row>
    <row r="48" spans="2:25" ht="19.8">
      <c r="B48" s="1457"/>
      <c r="C48" s="810"/>
      <c r="D48" s="810"/>
      <c r="E48" s="810"/>
      <c r="F48" s="810"/>
      <c r="G48" s="810"/>
      <c r="H48" s="810"/>
      <c r="I48" s="832"/>
      <c r="J48" s="833"/>
      <c r="K48" s="833"/>
      <c r="L48" s="833"/>
      <c r="M48" s="1477"/>
      <c r="N48" s="837"/>
      <c r="R48" s="844" t="s">
        <v>2592</v>
      </c>
      <c r="S48" s="845">
        <f>+K66-J69</f>
        <v>-813908</v>
      </c>
      <c r="T48" s="846">
        <v>15</v>
      </c>
      <c r="U48" s="845">
        <f>+S48*T48/100</f>
        <v>-122086.2</v>
      </c>
      <c r="V48" s="845">
        <v>0</v>
      </c>
      <c r="W48" s="845">
        <f>+U48-V48</f>
        <v>-122086.2</v>
      </c>
      <c r="X48" s="845">
        <v>3</v>
      </c>
      <c r="Y48" s="845">
        <f>+W48*X48/100</f>
        <v>-3662.5859999999998</v>
      </c>
    </row>
    <row r="49" spans="2:25" ht="19.8">
      <c r="B49" s="1457"/>
      <c r="C49" s="810"/>
      <c r="D49" s="810"/>
      <c r="E49" s="810"/>
      <c r="F49" s="810"/>
      <c r="G49" s="810"/>
      <c r="H49" s="1473"/>
      <c r="I49" s="832" t="s">
        <v>2593</v>
      </c>
      <c r="J49" s="833"/>
      <c r="K49" s="811">
        <f>IF(K46&gt;0,K46*0.25,0)</f>
        <v>0</v>
      </c>
      <c r="L49" s="833"/>
      <c r="M49" s="1455">
        <f>IF(M46&gt;0,M46*0.22,0)</f>
        <v>0</v>
      </c>
      <c r="N49" s="807"/>
      <c r="R49" s="844" t="s">
        <v>2594</v>
      </c>
      <c r="S49" s="845">
        <f>+S48</f>
        <v>-813908</v>
      </c>
      <c r="T49" s="846">
        <v>45</v>
      </c>
      <c r="U49" s="845">
        <f t="shared" ref="U49:U51" si="1">+S49*T49/100</f>
        <v>-366258.6</v>
      </c>
      <c r="V49" s="845">
        <v>2000000</v>
      </c>
      <c r="W49" s="845">
        <f t="shared" ref="W49:W51" si="2">+U49-V49</f>
        <v>-2366258.6</v>
      </c>
      <c r="X49" s="845">
        <v>3</v>
      </c>
      <c r="Y49" s="845">
        <f t="shared" ref="Y49:Y51" si="3">+W49*X49/100</f>
        <v>-70987.758000000002</v>
      </c>
    </row>
    <row r="50" spans="2:25" ht="19.8">
      <c r="B50" s="1457"/>
      <c r="C50" s="810"/>
      <c r="D50" s="810"/>
      <c r="E50" s="810"/>
      <c r="F50" s="810"/>
      <c r="G50" s="810"/>
      <c r="H50" s="1473"/>
      <c r="I50" s="816"/>
      <c r="J50" s="817"/>
      <c r="K50" s="817"/>
      <c r="L50" s="817"/>
      <c r="M50" s="1463"/>
      <c r="N50" s="818"/>
      <c r="R50" s="844" t="s">
        <v>2595</v>
      </c>
      <c r="S50" s="845">
        <f>+S49</f>
        <v>-813908</v>
      </c>
      <c r="T50" s="846">
        <v>75</v>
      </c>
      <c r="U50" s="845">
        <f t="shared" si="1"/>
        <v>-610431</v>
      </c>
      <c r="V50" s="845">
        <v>7000000</v>
      </c>
      <c r="W50" s="845">
        <f t="shared" si="2"/>
        <v>-7610431</v>
      </c>
      <c r="X50" s="845">
        <v>3</v>
      </c>
      <c r="Y50" s="845">
        <f t="shared" si="3"/>
        <v>-228312.93</v>
      </c>
    </row>
    <row r="51" spans="2:25" ht="19.8">
      <c r="B51" s="1457"/>
      <c r="C51" s="810"/>
      <c r="D51" s="810"/>
      <c r="E51" s="810"/>
      <c r="F51" s="810"/>
      <c r="G51" s="810"/>
      <c r="H51" s="810"/>
      <c r="I51" s="816"/>
      <c r="J51" s="817"/>
      <c r="K51" s="817"/>
      <c r="L51" s="817"/>
      <c r="M51" s="1463"/>
      <c r="N51" s="818"/>
      <c r="R51" s="844" t="s">
        <v>2596</v>
      </c>
      <c r="S51" s="845">
        <f>+S50</f>
        <v>-813908</v>
      </c>
      <c r="T51" s="846">
        <v>100</v>
      </c>
      <c r="U51" s="845">
        <f t="shared" si="1"/>
        <v>-813908</v>
      </c>
      <c r="V51" s="845">
        <v>13000000</v>
      </c>
      <c r="W51" s="845">
        <f t="shared" si="2"/>
        <v>-13813908</v>
      </c>
      <c r="X51" s="845">
        <v>1</v>
      </c>
      <c r="Y51" s="845">
        <f t="shared" si="3"/>
        <v>-138139.07999999999</v>
      </c>
    </row>
    <row r="52" spans="2:25" ht="19.8">
      <c r="B52" s="2339"/>
      <c r="C52" s="2340"/>
      <c r="D52" s="2340"/>
      <c r="E52" s="2340"/>
      <c r="F52" s="2340"/>
      <c r="G52" s="2340"/>
      <c r="H52" s="2340"/>
      <c r="I52" s="2341"/>
      <c r="J52" s="847"/>
      <c r="K52" s="848"/>
      <c r="L52" s="847"/>
      <c r="M52" s="1481"/>
      <c r="N52" s="849"/>
      <c r="R52" s="850" t="s">
        <v>911</v>
      </c>
      <c r="S52" s="851"/>
      <c r="T52" s="852"/>
      <c r="U52" s="845"/>
      <c r="V52" s="845"/>
      <c r="W52" s="845"/>
      <c r="X52" s="845"/>
      <c r="Y52" s="853">
        <f>+SUM(Y48:Y51)</f>
        <v>-441102.35399999993</v>
      </c>
    </row>
    <row r="53" spans="2:25" ht="20.399999999999999" thickBot="1">
      <c r="B53" s="1462"/>
      <c r="C53" s="810"/>
      <c r="D53" s="810"/>
      <c r="E53" s="810"/>
      <c r="F53" s="810"/>
      <c r="G53" s="810"/>
      <c r="H53" s="810"/>
      <c r="I53" s="816"/>
      <c r="J53" s="817"/>
      <c r="K53" s="817"/>
      <c r="L53" s="817"/>
      <c r="M53" s="1463"/>
      <c r="N53" s="818"/>
      <c r="R53" s="852"/>
      <c r="S53" s="852"/>
      <c r="T53" s="852"/>
    </row>
    <row r="54" spans="2:25" ht="60" thickBot="1">
      <c r="B54" s="1462"/>
      <c r="C54" s="810"/>
      <c r="D54" s="810"/>
      <c r="E54" s="810"/>
      <c r="F54" s="810"/>
      <c r="G54" s="810"/>
      <c r="H54" s="810"/>
      <c r="I54" s="816"/>
      <c r="J54" s="817"/>
      <c r="K54" s="817"/>
      <c r="L54" s="817"/>
      <c r="M54" s="1463"/>
      <c r="N54" s="818"/>
      <c r="Q54" s="842" t="s">
        <v>2584</v>
      </c>
      <c r="R54" s="843" t="s">
        <v>2585</v>
      </c>
      <c r="S54" s="843" t="s">
        <v>2586</v>
      </c>
      <c r="T54" s="843" t="s">
        <v>2587</v>
      </c>
      <c r="U54" s="843" t="s">
        <v>2588</v>
      </c>
      <c r="V54" s="843" t="s">
        <v>2589</v>
      </c>
      <c r="W54" s="843" t="s">
        <v>2590</v>
      </c>
      <c r="X54" s="843" t="s">
        <v>2591</v>
      </c>
      <c r="Y54" s="843" t="s">
        <v>994</v>
      </c>
    </row>
    <row r="55" spans="2:25" ht="19.8">
      <c r="B55" s="1462"/>
      <c r="C55" s="810"/>
      <c r="D55" s="1482"/>
      <c r="E55" s="810"/>
      <c r="F55" s="1482" t="str">
        <f>B15</f>
        <v>Profit as per Profit and Loss Statement after extraordinary item</v>
      </c>
      <c r="G55" s="810"/>
      <c r="H55" s="810"/>
      <c r="I55" s="816"/>
      <c r="J55" s="817"/>
      <c r="K55" s="854">
        <f>+K15</f>
        <v>-37729675.915287264</v>
      </c>
      <c r="L55" s="817"/>
      <c r="M55" s="1483"/>
      <c r="N55" s="855"/>
      <c r="R55" s="844" t="s">
        <v>2592</v>
      </c>
      <c r="S55" s="856">
        <f>+M66-L69</f>
        <v>-813908</v>
      </c>
      <c r="T55" s="846">
        <v>15</v>
      </c>
      <c r="U55" s="856">
        <f>+S55*T55/100</f>
        <v>-122086.2</v>
      </c>
      <c r="V55" s="856">
        <v>0</v>
      </c>
      <c r="W55" s="856">
        <f>+U55-V55</f>
        <v>-122086.2</v>
      </c>
      <c r="X55" s="856">
        <v>3</v>
      </c>
      <c r="Y55" s="856">
        <f>+W55*X55/100</f>
        <v>-3662.5859999999998</v>
      </c>
    </row>
    <row r="56" spans="2:25" ht="19.8">
      <c r="B56" s="1462"/>
      <c r="C56" s="810"/>
      <c r="D56" s="1482"/>
      <c r="E56" s="810"/>
      <c r="F56" s="1484" t="s">
        <v>2597</v>
      </c>
      <c r="G56" s="810"/>
      <c r="H56" s="810"/>
      <c r="I56" s="816"/>
      <c r="J56" s="817"/>
      <c r="K56" s="831">
        <v>0</v>
      </c>
      <c r="L56" s="817"/>
      <c r="M56" s="1485"/>
      <c r="N56" s="818"/>
      <c r="R56" s="844" t="s">
        <v>2594</v>
      </c>
      <c r="S56" s="845">
        <f>+S55</f>
        <v>-813908</v>
      </c>
      <c r="T56" s="846">
        <v>45</v>
      </c>
      <c r="U56" s="856">
        <f t="shared" ref="U56:U58" si="4">+S56*T56/100</f>
        <v>-366258.6</v>
      </c>
      <c r="V56" s="856">
        <v>2000000</v>
      </c>
      <c r="W56" s="856">
        <f t="shared" ref="W56:W58" si="5">+U56-V56</f>
        <v>-2366258.6</v>
      </c>
      <c r="X56" s="856">
        <v>3</v>
      </c>
      <c r="Y56" s="856">
        <f t="shared" ref="Y56:Y57" si="6">+W56*X56/100</f>
        <v>-70987.758000000002</v>
      </c>
    </row>
    <row r="57" spans="2:25" ht="19.8">
      <c r="B57" s="1462"/>
      <c r="C57" s="810"/>
      <c r="D57" s="810"/>
      <c r="E57" s="810"/>
      <c r="F57" s="1486" t="s">
        <v>2598</v>
      </c>
      <c r="G57" s="810"/>
      <c r="H57" s="1470"/>
      <c r="I57" s="816"/>
      <c r="J57" s="817"/>
      <c r="K57" s="826">
        <f>K55-K56</f>
        <v>-37729675.915287264</v>
      </c>
      <c r="L57" s="817"/>
      <c r="M57" s="1468"/>
      <c r="N57" s="807"/>
      <c r="R57" s="844" t="s">
        <v>2595</v>
      </c>
      <c r="S57" s="845">
        <f>+S56</f>
        <v>-813908</v>
      </c>
      <c r="T57" s="846">
        <v>75</v>
      </c>
      <c r="U57" s="856">
        <f t="shared" si="4"/>
        <v>-610431</v>
      </c>
      <c r="V57" s="856">
        <v>7000000</v>
      </c>
      <c r="W57" s="856">
        <f t="shared" si="5"/>
        <v>-7610431</v>
      </c>
      <c r="X57" s="856">
        <v>3</v>
      </c>
      <c r="Y57" s="856">
        <f t="shared" si="6"/>
        <v>-228312.93</v>
      </c>
    </row>
    <row r="58" spans="2:25" ht="19.8">
      <c r="B58" s="1457"/>
      <c r="C58" s="810"/>
      <c r="D58" s="810"/>
      <c r="E58" s="810"/>
      <c r="F58" s="810"/>
      <c r="G58" s="810"/>
      <c r="H58" s="810"/>
      <c r="I58" s="816"/>
      <c r="J58" s="817"/>
      <c r="K58" s="817"/>
      <c r="L58" s="817"/>
      <c r="M58" s="1463"/>
      <c r="N58" s="818"/>
      <c r="R58" s="844" t="s">
        <v>2596</v>
      </c>
      <c r="S58" s="845">
        <f>+S57</f>
        <v>-813908</v>
      </c>
      <c r="T58" s="846">
        <v>100</v>
      </c>
      <c r="U58" s="856">
        <f t="shared" si="4"/>
        <v>-813908</v>
      </c>
      <c r="V58" s="856">
        <v>13000000</v>
      </c>
      <c r="W58" s="856">
        <f t="shared" si="5"/>
        <v>-13813908</v>
      </c>
      <c r="X58" s="856">
        <v>1</v>
      </c>
      <c r="Y58" s="856">
        <v>0</v>
      </c>
    </row>
    <row r="59" spans="2:25" ht="19.8">
      <c r="B59" s="1457"/>
      <c r="C59" s="810"/>
      <c r="D59" s="810"/>
      <c r="E59" s="810"/>
      <c r="F59" s="810" t="s">
        <v>2599</v>
      </c>
      <c r="G59" s="810"/>
      <c r="H59" s="810"/>
      <c r="I59" s="832" t="s">
        <v>2600</v>
      </c>
      <c r="J59" s="833"/>
      <c r="K59" s="826">
        <f>IF(K57&gt;0,K57*0.15,0)</f>
        <v>0</v>
      </c>
      <c r="L59" s="833"/>
      <c r="M59" s="1468"/>
      <c r="N59" s="807"/>
      <c r="R59" s="850" t="s">
        <v>911</v>
      </c>
      <c r="S59" s="851"/>
      <c r="T59" s="852"/>
      <c r="U59" s="856"/>
      <c r="V59" s="856"/>
      <c r="W59" s="856"/>
      <c r="X59" s="856"/>
      <c r="Y59" s="857">
        <f>+SUM(Y55:Y58)</f>
        <v>-302963.27399999998</v>
      </c>
    </row>
    <row r="60" spans="2:25" ht="15.6">
      <c r="B60" s="1457"/>
      <c r="C60" s="810"/>
      <c r="D60" s="810"/>
      <c r="E60" s="810"/>
      <c r="F60" s="810"/>
      <c r="G60" s="810"/>
      <c r="H60" s="810"/>
      <c r="I60" s="816"/>
      <c r="J60" s="817"/>
      <c r="K60" s="817"/>
      <c r="L60" s="817"/>
      <c r="M60" s="1463"/>
      <c r="N60" s="818"/>
    </row>
    <row r="61" spans="2:25" ht="15.6">
      <c r="B61" s="1457"/>
      <c r="C61" s="810"/>
      <c r="D61" s="810"/>
      <c r="E61" s="810"/>
      <c r="F61" s="810"/>
      <c r="G61" s="810"/>
      <c r="H61" s="1470" t="s">
        <v>2601</v>
      </c>
      <c r="I61" s="816"/>
      <c r="J61" s="817"/>
      <c r="K61" s="854">
        <f>IF(K59&gt;K49,K59,K49)</f>
        <v>0</v>
      </c>
      <c r="L61" s="817"/>
      <c r="M61" s="1483">
        <f>IF(M59&gt;M49,M59,M49)</f>
        <v>0</v>
      </c>
      <c r="N61" s="855"/>
    </row>
    <row r="62" spans="2:25" ht="15.6">
      <c r="B62" s="1457"/>
      <c r="C62" s="810"/>
      <c r="D62" s="810"/>
      <c r="E62" s="810"/>
      <c r="F62" s="810"/>
      <c r="G62" s="810"/>
      <c r="H62" s="810"/>
      <c r="I62" s="816"/>
      <c r="J62" s="817"/>
      <c r="K62" s="817"/>
      <c r="L62" s="817"/>
      <c r="M62" s="1463"/>
      <c r="N62" s="818"/>
      <c r="P62" s="858">
        <f>+K61-K59</f>
        <v>0</v>
      </c>
    </row>
    <row r="63" spans="2:25" ht="15.6">
      <c r="B63" s="1457"/>
      <c r="C63" s="810"/>
      <c r="D63" s="810"/>
      <c r="E63" s="810"/>
      <c r="F63" s="810" t="s">
        <v>2602</v>
      </c>
      <c r="G63" s="810"/>
      <c r="H63" s="810"/>
      <c r="I63" s="816"/>
      <c r="J63" s="817"/>
      <c r="K63" s="859">
        <f>IF(K57&gt;10000000,K61*0.07,0)</f>
        <v>0</v>
      </c>
      <c r="L63" s="817"/>
      <c r="M63" s="1487">
        <f>+ROUND(M61*10%,0)</f>
        <v>0</v>
      </c>
      <c r="N63" s="855"/>
    </row>
    <row r="64" spans="2:25" ht="15.6">
      <c r="B64" s="1457"/>
      <c r="C64" s="810"/>
      <c r="D64" s="810"/>
      <c r="E64" s="810"/>
      <c r="F64" s="810"/>
      <c r="G64" s="810"/>
      <c r="H64" s="810"/>
      <c r="I64" s="816"/>
      <c r="J64" s="817"/>
      <c r="K64" s="826">
        <f>+K61+K63</f>
        <v>0</v>
      </c>
      <c r="L64" s="817"/>
      <c r="M64" s="1468">
        <f>+M61+M63</f>
        <v>0</v>
      </c>
      <c r="N64" s="807"/>
    </row>
    <row r="65" spans="2:16" ht="15.6">
      <c r="B65" s="1457"/>
      <c r="C65" s="810"/>
      <c r="D65" s="810"/>
      <c r="E65" s="810"/>
      <c r="F65" s="810" t="s">
        <v>2603</v>
      </c>
      <c r="G65" s="810"/>
      <c r="H65" s="810"/>
      <c r="I65" s="816"/>
      <c r="J65" s="817"/>
      <c r="K65" s="859">
        <f>+K64*0.04</f>
        <v>0</v>
      </c>
      <c r="L65" s="817"/>
      <c r="M65" s="1487">
        <f>+M64*0.04</f>
        <v>0</v>
      </c>
      <c r="N65" s="855"/>
    </row>
    <row r="66" spans="2:16" ht="15.6">
      <c r="B66" s="1457"/>
      <c r="C66" s="810"/>
      <c r="D66" s="810"/>
      <c r="E66" s="810"/>
      <c r="F66" s="809" t="s">
        <v>2604</v>
      </c>
      <c r="G66" s="810"/>
      <c r="H66" s="810"/>
      <c r="I66" s="816"/>
      <c r="J66" s="817"/>
      <c r="K66" s="826">
        <f>K64+K65</f>
        <v>0</v>
      </c>
      <c r="L66" s="817"/>
      <c r="M66" s="1468">
        <f>M64+M65</f>
        <v>0</v>
      </c>
      <c r="N66" s="807"/>
      <c r="P66">
        <v>5500000</v>
      </c>
    </row>
    <row r="67" spans="2:16" ht="15.6">
      <c r="B67" s="1457"/>
      <c r="C67" s="810"/>
      <c r="D67" s="810"/>
      <c r="E67" s="810"/>
      <c r="F67" s="810"/>
      <c r="G67" s="810"/>
      <c r="H67" s="810"/>
      <c r="I67" s="816"/>
      <c r="J67" s="817"/>
      <c r="K67" s="817"/>
      <c r="L67" s="817"/>
      <c r="M67" s="1463"/>
      <c r="N67" s="818"/>
    </row>
    <row r="68" spans="2:16" ht="15.6">
      <c r="B68" s="1457"/>
      <c r="C68" s="810"/>
      <c r="D68" s="810"/>
      <c r="E68" s="810"/>
      <c r="F68" s="810" t="s">
        <v>2605</v>
      </c>
      <c r="G68" s="810"/>
      <c r="H68" s="810"/>
      <c r="I68" s="816"/>
      <c r="J68" s="817"/>
      <c r="K68" s="817"/>
      <c r="L68" s="817"/>
      <c r="M68" s="1463"/>
      <c r="N68" s="818"/>
    </row>
    <row r="69" spans="2:16" ht="15.6">
      <c r="B69" s="1457"/>
      <c r="C69" s="810"/>
      <c r="D69" s="810"/>
      <c r="E69" s="810"/>
      <c r="F69" s="810" t="s">
        <v>2606</v>
      </c>
      <c r="G69" s="810"/>
      <c r="H69" s="810"/>
      <c r="I69" s="860"/>
      <c r="J69" s="828">
        <f>80354+40640+1568+6489+8237+38195+10368+560+3081+101050+15643+209+68053+158547+243242+19899+6162+11611</f>
        <v>813908</v>
      </c>
      <c r="K69" s="828"/>
      <c r="L69" s="828">
        <f>80354+40640+1568+6489+8237+38195+10368+560+3081+101050+15643+209+68053+158547+243242+19899+6162+11611</f>
        <v>813908</v>
      </c>
      <c r="M69" s="1469"/>
      <c r="N69" s="825"/>
    </row>
    <row r="70" spans="2:16" ht="15.6">
      <c r="B70" s="1457"/>
      <c r="C70" s="810"/>
      <c r="D70" s="810"/>
      <c r="E70" s="810"/>
      <c r="F70" s="810" t="s">
        <v>2607</v>
      </c>
      <c r="G70" s="810"/>
      <c r="H70" s="810"/>
      <c r="I70" s="827"/>
      <c r="J70" s="828">
        <v>0</v>
      </c>
      <c r="K70" s="828"/>
      <c r="L70" s="828">
        <v>0</v>
      </c>
      <c r="M70" s="1469"/>
      <c r="N70" s="825"/>
    </row>
    <row r="71" spans="2:16" ht="15.6">
      <c r="B71" s="1457"/>
      <c r="C71" s="810"/>
      <c r="D71" s="810"/>
      <c r="E71" s="810"/>
      <c r="F71" s="810" t="s">
        <v>2608</v>
      </c>
      <c r="G71" s="810"/>
      <c r="H71" s="810"/>
      <c r="I71" s="827"/>
      <c r="J71" s="824">
        <v>0</v>
      </c>
      <c r="K71" s="861">
        <f>SUM(J69:J71)</f>
        <v>813908</v>
      </c>
      <c r="L71" s="828">
        <v>0</v>
      </c>
      <c r="M71" s="1488">
        <f>SUM(L69:L71)</f>
        <v>813908</v>
      </c>
      <c r="N71" s="862"/>
    </row>
    <row r="72" spans="2:16" ht="15.6">
      <c r="B72" s="1457"/>
      <c r="C72" s="810"/>
      <c r="D72" s="810"/>
      <c r="E72" s="810"/>
      <c r="F72" s="809"/>
      <c r="G72" s="810"/>
      <c r="H72" s="1489"/>
      <c r="I72" s="816"/>
      <c r="J72" s="817"/>
      <c r="K72" s="1475">
        <f>K66-K71</f>
        <v>-813908</v>
      </c>
      <c r="L72" s="817"/>
      <c r="M72" s="1476">
        <f>M66-M71</f>
        <v>-813908</v>
      </c>
      <c r="N72" s="807"/>
    </row>
    <row r="73" spans="2:16" ht="15.6">
      <c r="B73" s="1457"/>
      <c r="C73" s="810"/>
      <c r="D73" s="810"/>
      <c r="E73" s="810"/>
      <c r="F73" s="810" t="s">
        <v>2609</v>
      </c>
      <c r="G73" s="810"/>
      <c r="H73" s="810"/>
      <c r="I73" s="816"/>
      <c r="J73" s="817"/>
      <c r="K73" s="817">
        <v>0</v>
      </c>
      <c r="L73" s="817"/>
      <c r="M73" s="1463">
        <v>0</v>
      </c>
      <c r="N73" s="818"/>
    </row>
    <row r="74" spans="2:16" ht="15.6">
      <c r="B74" s="1457"/>
      <c r="C74" s="810"/>
      <c r="D74" s="810"/>
      <c r="E74" s="810"/>
      <c r="F74" s="810"/>
      <c r="G74" s="810"/>
      <c r="H74" s="810"/>
      <c r="I74" s="816"/>
      <c r="J74" s="817"/>
      <c r="K74" s="826">
        <f>K72+K73</f>
        <v>-813908</v>
      </c>
      <c r="L74" s="817"/>
      <c r="M74" s="1468">
        <f>M72+M73</f>
        <v>-813908</v>
      </c>
      <c r="N74" s="807"/>
    </row>
    <row r="75" spans="2:16" ht="15.6">
      <c r="B75" s="1457"/>
      <c r="C75" s="810"/>
      <c r="D75" s="810"/>
      <c r="E75" s="810"/>
      <c r="F75" s="810" t="s">
        <v>2610</v>
      </c>
      <c r="G75" s="810"/>
      <c r="H75" s="810"/>
      <c r="I75" s="816"/>
      <c r="J75" s="817"/>
      <c r="K75" s="863">
        <v>0</v>
      </c>
      <c r="L75" s="817"/>
      <c r="M75" s="1490">
        <v>0</v>
      </c>
      <c r="N75" s="864"/>
    </row>
    <row r="76" spans="2:16" ht="15.6">
      <c r="B76" s="1457"/>
      <c r="C76" s="809"/>
      <c r="D76" s="809"/>
      <c r="E76" s="810"/>
      <c r="F76" s="809" t="s">
        <v>2611</v>
      </c>
      <c r="G76" s="810"/>
      <c r="H76" s="1491"/>
      <c r="I76" s="816"/>
      <c r="J76" s="817"/>
      <c r="K76" s="1492">
        <f>K74-K75</f>
        <v>-813908</v>
      </c>
      <c r="L76" s="817"/>
      <c r="M76" s="1493">
        <f>M74-M75</f>
        <v>-813908</v>
      </c>
      <c r="N76" s="807"/>
    </row>
    <row r="77" spans="2:16" ht="16.2" thickBot="1">
      <c r="B77" s="1494"/>
      <c r="C77" s="1495"/>
      <c r="D77" s="1495"/>
      <c r="E77" s="1495"/>
      <c r="F77" s="1495"/>
      <c r="G77" s="1495"/>
      <c r="H77" s="1495"/>
      <c r="I77" s="1496"/>
      <c r="J77" s="1497"/>
      <c r="K77" s="1497"/>
      <c r="L77" s="1497"/>
      <c r="M77" s="1498"/>
      <c r="N77" s="818"/>
    </row>
    <row r="78" spans="2:16" ht="15.6">
      <c r="B78" s="1499"/>
      <c r="C78" s="1499"/>
      <c r="D78" s="1499"/>
      <c r="E78" s="1499"/>
      <c r="F78" s="1499"/>
      <c r="G78" s="1499"/>
      <c r="H78" s="1499"/>
      <c r="I78" s="1500"/>
      <c r="J78" s="1500"/>
      <c r="K78" s="1500"/>
      <c r="L78" s="1500"/>
      <c r="M78" s="1501"/>
      <c r="N78" s="855"/>
    </row>
    <row r="79" spans="2:16" ht="15.6">
      <c r="B79" s="810"/>
      <c r="L79" s="818"/>
      <c r="M79" s="855"/>
      <c r="N79" s="855"/>
    </row>
    <row r="80" spans="2:16" ht="15.6">
      <c r="B80" s="810"/>
      <c r="C80" s="900" t="s">
        <v>2612</v>
      </c>
      <c r="D80" s="900"/>
      <c r="E80" s="900"/>
      <c r="F80" s="900"/>
      <c r="G80" s="900"/>
      <c r="H80" s="900"/>
      <c r="I80" s="900"/>
      <c r="L80" s="810"/>
      <c r="M80" s="865"/>
      <c r="N80" s="865"/>
    </row>
    <row r="81" spans="2:14" ht="15.6">
      <c r="B81" s="810"/>
      <c r="C81" s="900"/>
      <c r="D81" s="900"/>
      <c r="E81" s="900"/>
      <c r="F81" s="900"/>
      <c r="G81" s="900"/>
      <c r="H81" s="900"/>
      <c r="I81" s="900"/>
      <c r="L81" s="810"/>
      <c r="M81" s="865"/>
      <c r="N81" s="865"/>
    </row>
    <row r="82" spans="2:14" ht="15.6">
      <c r="B82" s="810"/>
      <c r="C82" s="2327" t="s">
        <v>532</v>
      </c>
      <c r="D82" s="2328"/>
      <c r="E82" s="2328"/>
      <c r="F82" s="2329"/>
      <c r="G82" s="2323" t="s">
        <v>2613</v>
      </c>
      <c r="H82" s="2317" t="s">
        <v>2614</v>
      </c>
      <c r="I82" s="2319"/>
      <c r="J82" s="2325" t="s">
        <v>911</v>
      </c>
      <c r="K82" s="2325" t="s">
        <v>2357</v>
      </c>
      <c r="L82" s="810"/>
      <c r="M82" s="865"/>
      <c r="N82" s="865"/>
    </row>
    <row r="83" spans="2:14" ht="15.6">
      <c r="B83" s="810"/>
      <c r="C83" s="2330"/>
      <c r="D83" s="2331"/>
      <c r="E83" s="2331"/>
      <c r="F83" s="2332"/>
      <c r="G83" s="2324"/>
      <c r="H83" s="901" t="s">
        <v>2615</v>
      </c>
      <c r="I83" s="901" t="s">
        <v>2616</v>
      </c>
      <c r="J83" s="2326"/>
      <c r="K83" s="2326"/>
      <c r="L83" s="810"/>
      <c r="M83" s="865"/>
      <c r="N83" s="865"/>
    </row>
    <row r="84" spans="2:14" ht="15.6">
      <c r="B84" s="810"/>
      <c r="C84" s="2320" t="s">
        <v>2617</v>
      </c>
      <c r="D84" s="2321"/>
      <c r="E84" s="2321"/>
      <c r="F84" s="2322"/>
      <c r="G84" s="902">
        <v>0</v>
      </c>
      <c r="H84" s="902">
        <f>+J84-I84</f>
        <v>18395606</v>
      </c>
      <c r="I84" s="902">
        <v>10039411</v>
      </c>
      <c r="J84" s="658">
        <v>28435017</v>
      </c>
      <c r="K84" s="661">
        <f>+J84</f>
        <v>28435017</v>
      </c>
      <c r="L84" s="810"/>
      <c r="M84" s="865"/>
      <c r="N84" s="865"/>
    </row>
    <row r="85" spans="2:14" ht="15.6">
      <c r="B85" s="810"/>
      <c r="C85" s="2320" t="s">
        <v>2618</v>
      </c>
      <c r="D85" s="2321"/>
      <c r="E85" s="2321"/>
      <c r="F85" s="2322"/>
      <c r="G85" s="902">
        <v>0</v>
      </c>
      <c r="H85" s="903">
        <f>+J85-I85</f>
        <v>-11260589</v>
      </c>
      <c r="I85" s="902">
        <v>-10039411</v>
      </c>
      <c r="J85" s="658">
        <v>-21300000</v>
      </c>
      <c r="K85" s="661">
        <f>+K84+J85</f>
        <v>7135017</v>
      </c>
      <c r="L85" s="810"/>
      <c r="M85" s="865"/>
      <c r="N85" s="865"/>
    </row>
    <row r="86" spans="2:14" ht="15.6">
      <c r="B86" s="810"/>
      <c r="C86" s="2317" t="s">
        <v>2357</v>
      </c>
      <c r="D86" s="2318"/>
      <c r="E86" s="2318"/>
      <c r="F86" s="2319"/>
      <c r="G86" s="904">
        <v>0</v>
      </c>
      <c r="H86" s="905">
        <f>+SUM(H84:H85)</f>
        <v>7135017</v>
      </c>
      <c r="I86" s="905">
        <f>+SUM(I84:I85)</f>
        <v>0</v>
      </c>
      <c r="J86" s="152"/>
      <c r="K86" s="152"/>
      <c r="L86" s="810"/>
      <c r="M86" s="865"/>
      <c r="N86" s="865"/>
    </row>
    <row r="87" spans="2:14" ht="15.6">
      <c r="B87" s="810"/>
      <c r="C87" s="2320" t="s">
        <v>2619</v>
      </c>
      <c r="D87" s="2321"/>
      <c r="E87" s="2321"/>
      <c r="F87" s="2322"/>
      <c r="G87" s="902">
        <v>0</v>
      </c>
      <c r="H87" s="902">
        <v>-1635017</v>
      </c>
      <c r="I87" s="902">
        <v>0</v>
      </c>
      <c r="J87" s="658">
        <f>+SUM(H87:I87)</f>
        <v>-1635017</v>
      </c>
      <c r="K87" s="661">
        <f>+K85+J87</f>
        <v>5500000</v>
      </c>
      <c r="L87" s="810"/>
      <c r="M87" s="865"/>
      <c r="N87" s="865"/>
    </row>
    <row r="88" spans="2:14" ht="15.6">
      <c r="B88" s="810"/>
      <c r="C88" s="2320"/>
      <c r="D88" s="2321"/>
      <c r="E88" s="2321"/>
      <c r="F88" s="2322"/>
      <c r="G88" s="906"/>
      <c r="H88" s="906"/>
      <c r="I88" s="906"/>
      <c r="J88" s="152"/>
      <c r="K88" s="152"/>
      <c r="L88" s="810"/>
      <c r="M88" s="865"/>
      <c r="N88" s="865"/>
    </row>
    <row r="89" spans="2:14" ht="15.6">
      <c r="B89" s="810"/>
      <c r="C89" s="907"/>
      <c r="D89" s="907"/>
      <c r="E89" s="907"/>
      <c r="F89" s="907"/>
      <c r="G89" s="907"/>
      <c r="H89" s="907"/>
      <c r="I89" s="907"/>
      <c r="J89" s="810"/>
      <c r="K89" s="810"/>
      <c r="L89" s="810"/>
      <c r="M89" s="865"/>
      <c r="N89" s="865"/>
    </row>
    <row r="90" spans="2:14" ht="15.6">
      <c r="B90" s="810"/>
      <c r="C90" s="900" t="s">
        <v>2612</v>
      </c>
      <c r="D90" s="900"/>
      <c r="E90" s="900"/>
      <c r="F90" s="900"/>
      <c r="G90" s="900"/>
      <c r="H90" s="900"/>
      <c r="I90" s="900"/>
      <c r="L90" s="810"/>
      <c r="M90" s="865"/>
      <c r="N90" s="865"/>
    </row>
    <row r="91" spans="2:14" ht="15.6">
      <c r="B91" s="810"/>
      <c r="C91" s="900"/>
      <c r="D91" s="900"/>
      <c r="E91" s="900"/>
      <c r="F91" s="900"/>
      <c r="G91" s="900"/>
      <c r="H91" s="900"/>
      <c r="I91" s="900"/>
      <c r="L91" s="810"/>
      <c r="M91" s="865"/>
      <c r="N91" s="865"/>
    </row>
    <row r="92" spans="2:14" ht="15.6">
      <c r="B92" s="810"/>
      <c r="C92" s="2327" t="s">
        <v>532</v>
      </c>
      <c r="D92" s="2328"/>
      <c r="E92" s="2328"/>
      <c r="F92" s="2329"/>
      <c r="G92" s="2323" t="s">
        <v>2613</v>
      </c>
      <c r="H92" s="2317" t="s">
        <v>2614</v>
      </c>
      <c r="I92" s="2319"/>
      <c r="J92" s="2325" t="s">
        <v>911</v>
      </c>
      <c r="K92" s="2325" t="s">
        <v>2357</v>
      </c>
      <c r="L92" s="810"/>
      <c r="M92" s="865"/>
      <c r="N92" s="865"/>
    </row>
    <row r="93" spans="2:14" ht="15.6">
      <c r="B93" s="810"/>
      <c r="C93" s="2330"/>
      <c r="D93" s="2331"/>
      <c r="E93" s="2331"/>
      <c r="F93" s="2332"/>
      <c r="G93" s="2324"/>
      <c r="H93" s="901" t="s">
        <v>2615</v>
      </c>
      <c r="I93" s="901" t="s">
        <v>2616</v>
      </c>
      <c r="J93" s="2326"/>
      <c r="K93" s="2326"/>
      <c r="L93" s="810"/>
      <c r="M93" s="865"/>
      <c r="N93" s="865"/>
    </row>
    <row r="94" spans="2:14" ht="15.6">
      <c r="B94" s="810"/>
      <c r="C94" s="2320" t="s">
        <v>2617</v>
      </c>
      <c r="D94" s="2321"/>
      <c r="E94" s="2321"/>
      <c r="F94" s="2322"/>
      <c r="G94" s="902">
        <v>0</v>
      </c>
      <c r="H94" s="902">
        <f>+J94-I94</f>
        <v>18395606</v>
      </c>
      <c r="I94" s="902">
        <v>10039411</v>
      </c>
      <c r="J94" s="658">
        <v>28435017</v>
      </c>
      <c r="K94" s="661">
        <f>+J94</f>
        <v>28435017</v>
      </c>
      <c r="L94" s="810"/>
      <c r="M94" s="865"/>
      <c r="N94" s="865"/>
    </row>
    <row r="95" spans="2:14" ht="15.6">
      <c r="B95" s="810"/>
      <c r="C95" s="2320" t="s">
        <v>2618</v>
      </c>
      <c r="D95" s="2321"/>
      <c r="E95" s="2321"/>
      <c r="F95" s="2322"/>
      <c r="G95" s="902">
        <v>0</v>
      </c>
      <c r="H95" s="903">
        <f>+J95/J94*H94</f>
        <v>-13779714.209420027</v>
      </c>
      <c r="I95" s="902">
        <f>+J95/J94*I94</f>
        <v>-7520285.7905799747</v>
      </c>
      <c r="J95" s="658">
        <v>-21300000</v>
      </c>
      <c r="K95" s="661">
        <f>+K94+J95</f>
        <v>7135017</v>
      </c>
      <c r="L95" s="810"/>
      <c r="M95" s="865"/>
      <c r="N95" s="865"/>
    </row>
    <row r="96" spans="2:14" ht="15.6">
      <c r="B96" s="810"/>
      <c r="C96" s="2317" t="s">
        <v>2357</v>
      </c>
      <c r="D96" s="2318"/>
      <c r="E96" s="2318"/>
      <c r="F96" s="2319"/>
      <c r="G96" s="904">
        <v>0</v>
      </c>
      <c r="H96" s="905">
        <f>+SUM(H94:H95)</f>
        <v>4615891.7905799728</v>
      </c>
      <c r="I96" s="905">
        <f>+SUM(I94:I95)</f>
        <v>2519125.2094200253</v>
      </c>
      <c r="J96" s="152"/>
      <c r="K96" s="152"/>
      <c r="L96" s="810"/>
      <c r="M96" s="865"/>
      <c r="N96" s="865"/>
    </row>
    <row r="97" spans="2:14" ht="15.6">
      <c r="B97" s="810"/>
      <c r="C97" s="2320" t="s">
        <v>2619</v>
      </c>
      <c r="D97" s="2321"/>
      <c r="E97" s="2321"/>
      <c r="F97" s="2322"/>
      <c r="G97" s="902">
        <v>0</v>
      </c>
      <c r="H97" s="902">
        <f>+J97/J94*H94</f>
        <v>-1057749.623828324</v>
      </c>
      <c r="I97" s="902">
        <f>+J97/J94*I94</f>
        <v>-577267.37617167586</v>
      </c>
      <c r="J97" s="658">
        <v>-1635017</v>
      </c>
      <c r="K97" s="661">
        <f>+K95+J97</f>
        <v>5500000</v>
      </c>
      <c r="L97" s="810"/>
      <c r="M97" s="865"/>
      <c r="N97" s="865"/>
    </row>
    <row r="98" spans="2:14" ht="15.6">
      <c r="B98" s="810"/>
      <c r="C98" s="2320"/>
      <c r="D98" s="2321"/>
      <c r="E98" s="2321"/>
      <c r="F98" s="2322"/>
      <c r="G98" s="906"/>
      <c r="H98" s="903">
        <f>+H96+H97</f>
        <v>3558142.1667516488</v>
      </c>
      <c r="I98" s="903">
        <f>+I96+I97</f>
        <v>1941857.8332483494</v>
      </c>
      <c r="J98" s="152"/>
      <c r="K98" s="152"/>
      <c r="L98" s="810"/>
      <c r="M98" s="865"/>
      <c r="N98" s="865"/>
    </row>
    <row r="99" spans="2:14" ht="15.6">
      <c r="B99" s="810"/>
      <c r="C99" s="810"/>
      <c r="D99" s="810"/>
      <c r="E99" s="810"/>
      <c r="F99" s="810"/>
      <c r="G99" s="810"/>
      <c r="H99" s="810"/>
      <c r="I99" s="810"/>
      <c r="J99" s="810"/>
      <c r="K99" s="810"/>
      <c r="L99" s="810"/>
      <c r="M99" s="865"/>
      <c r="N99" s="865"/>
    </row>
    <row r="100" spans="2:14" ht="15.6">
      <c r="B100" s="810"/>
      <c r="C100" s="810"/>
      <c r="D100" s="810"/>
      <c r="E100" s="810"/>
      <c r="F100" s="810"/>
      <c r="G100" s="810"/>
      <c r="H100" s="810"/>
      <c r="I100" s="810"/>
      <c r="J100" s="810"/>
      <c r="K100" s="810"/>
      <c r="L100" s="810"/>
      <c r="M100" s="865"/>
      <c r="N100" s="865"/>
    </row>
    <row r="101" spans="2:14" ht="15.6">
      <c r="B101" s="810"/>
      <c r="C101" s="810"/>
      <c r="D101" s="810"/>
      <c r="E101" s="810"/>
      <c r="F101" s="810"/>
      <c r="G101" s="810"/>
      <c r="H101" s="810"/>
      <c r="I101" s="810"/>
      <c r="J101" s="810"/>
      <c r="K101" s="810"/>
      <c r="L101" s="810"/>
      <c r="M101" s="865"/>
      <c r="N101" s="865"/>
    </row>
    <row r="102" spans="2:14" ht="15.6">
      <c r="B102" s="810"/>
      <c r="C102" s="810"/>
      <c r="D102" s="810"/>
      <c r="E102" s="810"/>
      <c r="F102" s="810"/>
      <c r="G102" s="810"/>
      <c r="H102" s="810"/>
      <c r="I102" s="810"/>
      <c r="J102" s="810"/>
      <c r="K102" s="810"/>
      <c r="L102" s="810"/>
      <c r="M102" s="865"/>
      <c r="N102" s="865"/>
    </row>
    <row r="103" spans="2:14" ht="15.6">
      <c r="B103" s="810"/>
      <c r="C103" s="810"/>
      <c r="D103" s="810"/>
      <c r="E103" s="810"/>
      <c r="F103" s="810"/>
      <c r="G103" s="810"/>
      <c r="H103" s="810"/>
      <c r="I103" s="810"/>
      <c r="J103" s="810"/>
      <c r="K103" s="810"/>
      <c r="L103" s="810"/>
      <c r="M103" s="865"/>
      <c r="N103" s="865"/>
    </row>
    <row r="104" spans="2:14" ht="15.6">
      <c r="B104" s="810"/>
      <c r="C104" s="810"/>
      <c r="D104" s="810"/>
      <c r="E104" s="810"/>
      <c r="F104" s="810"/>
      <c r="G104" s="810"/>
      <c r="H104" s="810"/>
      <c r="I104" s="810"/>
      <c r="J104" s="810"/>
      <c r="K104" s="810"/>
      <c r="L104" s="810"/>
      <c r="M104" s="865"/>
      <c r="N104" s="865"/>
    </row>
    <row r="105" spans="2:14" ht="15.6">
      <c r="B105" s="810"/>
      <c r="C105" s="810"/>
      <c r="D105" s="810"/>
      <c r="E105" s="810"/>
      <c r="F105" s="810"/>
      <c r="G105" s="810"/>
      <c r="H105" s="810"/>
      <c r="I105" s="810"/>
      <c r="J105" s="810"/>
      <c r="K105" s="810"/>
      <c r="L105" s="810"/>
      <c r="M105" s="865"/>
      <c r="N105" s="865"/>
    </row>
    <row r="106" spans="2:14" ht="15.6">
      <c r="B106" s="810"/>
      <c r="C106" s="810"/>
      <c r="D106" s="810"/>
      <c r="E106" s="810"/>
      <c r="F106" s="810"/>
      <c r="G106" s="810"/>
      <c r="H106" s="810"/>
      <c r="I106" s="812"/>
      <c r="J106" s="812"/>
      <c r="K106" s="812"/>
      <c r="L106" s="812"/>
      <c r="M106" s="866"/>
      <c r="N106" s="866"/>
    </row>
    <row r="107" spans="2:14" ht="15.6">
      <c r="B107" s="867" t="s">
        <v>2620</v>
      </c>
      <c r="C107" s="810"/>
      <c r="D107" s="810"/>
      <c r="E107" s="810"/>
      <c r="F107" s="810"/>
      <c r="G107" s="810"/>
      <c r="H107" s="810"/>
      <c r="I107" s="812"/>
      <c r="J107" s="812"/>
      <c r="K107" s="812"/>
      <c r="L107" s="812"/>
      <c r="M107" s="866"/>
      <c r="N107" s="866"/>
    </row>
    <row r="108" spans="2:14" ht="15.6">
      <c r="B108" s="810"/>
      <c r="C108" s="810"/>
      <c r="D108" s="810"/>
      <c r="E108" s="810"/>
      <c r="F108" s="810"/>
      <c r="G108" s="810"/>
      <c r="H108" s="810"/>
      <c r="I108" s="812"/>
      <c r="J108" s="812"/>
      <c r="K108" s="812"/>
      <c r="L108" s="812"/>
      <c r="M108" s="866"/>
      <c r="N108" s="866"/>
    </row>
    <row r="109" spans="2:14" ht="15.6">
      <c r="B109" s="868" t="s">
        <v>2621</v>
      </c>
      <c r="C109" s="869"/>
      <c r="D109" s="869"/>
      <c r="E109" s="869"/>
      <c r="F109" s="810"/>
      <c r="G109" s="810"/>
      <c r="H109" s="810"/>
      <c r="I109" s="870"/>
      <c r="J109" s="870" t="s">
        <v>2622</v>
      </c>
      <c r="K109" s="871"/>
      <c r="L109" s="871"/>
      <c r="M109" s="866"/>
      <c r="N109" s="866"/>
    </row>
    <row r="110" spans="2:14" ht="15.6">
      <c r="B110" s="809" t="s">
        <v>2623</v>
      </c>
      <c r="C110" s="810"/>
      <c r="D110" s="830"/>
      <c r="E110" s="810"/>
      <c r="F110" s="810"/>
      <c r="G110" s="810"/>
      <c r="H110" s="810"/>
      <c r="I110" s="872"/>
      <c r="J110" s="873" t="s">
        <v>2624</v>
      </c>
      <c r="K110" s="874" t="s">
        <v>2625</v>
      </c>
      <c r="L110" s="875"/>
      <c r="M110" s="866"/>
      <c r="N110" s="866"/>
    </row>
    <row r="111" spans="2:14" ht="15.6">
      <c r="B111" s="809"/>
      <c r="C111" s="810"/>
      <c r="D111" s="830"/>
      <c r="E111" s="810"/>
      <c r="F111" s="810"/>
      <c r="G111" s="810"/>
      <c r="H111" s="810"/>
      <c r="I111" s="872"/>
      <c r="J111" s="876">
        <f>K49</f>
        <v>0</v>
      </c>
      <c r="K111" s="877">
        <f>K59</f>
        <v>0</v>
      </c>
      <c r="L111" s="878"/>
      <c r="M111" s="866"/>
      <c r="N111" s="866"/>
    </row>
    <row r="112" spans="2:14" ht="15.6">
      <c r="B112" s="810" t="s">
        <v>2626</v>
      </c>
      <c r="C112" s="810"/>
      <c r="D112" s="830">
        <f>'[79]Balance Sheet'!F28</f>
        <v>0</v>
      </c>
      <c r="E112" s="810"/>
      <c r="F112" s="810"/>
      <c r="G112" s="810"/>
      <c r="H112" s="810"/>
      <c r="I112" s="879" t="s">
        <v>2627</v>
      </c>
      <c r="J112" s="876">
        <f>J111*7%</f>
        <v>0</v>
      </c>
      <c r="K112" s="877">
        <f>K111*7%</f>
        <v>0</v>
      </c>
      <c r="L112" s="878"/>
      <c r="M112" s="866"/>
      <c r="N112" s="866"/>
    </row>
    <row r="113" spans="2:14" ht="15.6">
      <c r="B113" s="810" t="s">
        <v>2628</v>
      </c>
      <c r="C113" s="810"/>
      <c r="D113" s="830">
        <f>'[79]Balance Sheet'!F29</f>
        <v>26922650</v>
      </c>
      <c r="E113" s="810"/>
      <c r="F113" s="810"/>
      <c r="G113" s="810"/>
      <c r="H113" s="810"/>
      <c r="I113" s="879" t="s">
        <v>2629</v>
      </c>
      <c r="J113" s="880">
        <f>SUM(J111:J112)*3%</f>
        <v>0</v>
      </c>
      <c r="K113" s="881">
        <f>SUM(K111:K112)*3%</f>
        <v>0</v>
      </c>
      <c r="L113" s="878"/>
      <c r="M113" s="866"/>
      <c r="N113" s="866"/>
    </row>
    <row r="114" spans="2:14" ht="15.6">
      <c r="B114" s="810" t="s">
        <v>2630</v>
      </c>
      <c r="C114" s="810"/>
      <c r="D114" s="830">
        <f>'[79]Balance Sheet'!F33</f>
        <v>26922640</v>
      </c>
      <c r="E114" s="882">
        <f>D112+D113+D114</f>
        <v>53845290</v>
      </c>
      <c r="F114" s="810"/>
      <c r="G114" s="810"/>
      <c r="H114" s="810"/>
      <c r="I114" s="872"/>
      <c r="J114" s="876">
        <f>SUM(J111:J113)</f>
        <v>0</v>
      </c>
      <c r="K114" s="877">
        <f>SUM(K111:K113)</f>
        <v>0</v>
      </c>
      <c r="L114" s="883">
        <f>K114-J114</f>
        <v>0</v>
      </c>
      <c r="M114" s="866"/>
      <c r="N114" s="866"/>
    </row>
    <row r="115" spans="2:14" ht="15.6">
      <c r="B115" s="810" t="s">
        <v>2631</v>
      </c>
      <c r="C115" s="810"/>
      <c r="D115" s="810"/>
      <c r="E115" s="810"/>
      <c r="F115" s="810"/>
      <c r="G115" s="810"/>
      <c r="H115" s="810"/>
      <c r="I115" s="872"/>
      <c r="J115" s="884"/>
      <c r="K115" s="885"/>
      <c r="L115" s="886"/>
      <c r="M115" s="866"/>
      <c r="N115" s="866"/>
    </row>
    <row r="116" spans="2:14" ht="15.6">
      <c r="B116" s="810"/>
      <c r="C116" s="810"/>
      <c r="D116" s="810"/>
      <c r="E116" s="810"/>
      <c r="F116" s="810"/>
      <c r="G116" s="810"/>
      <c r="H116" s="810"/>
      <c r="I116" s="812"/>
      <c r="J116" s="812"/>
      <c r="K116" s="812"/>
      <c r="L116" s="812"/>
      <c r="M116" s="866"/>
      <c r="N116" s="866"/>
    </row>
    <row r="117" spans="2:14" ht="15.6">
      <c r="B117" s="810"/>
      <c r="C117" s="810"/>
      <c r="D117" s="810"/>
      <c r="E117" s="810"/>
      <c r="F117" s="810"/>
      <c r="G117" s="810"/>
      <c r="H117" s="810"/>
      <c r="I117" s="812"/>
      <c r="J117" s="812"/>
      <c r="K117" s="812"/>
      <c r="L117" s="812"/>
      <c r="M117" s="866"/>
      <c r="N117" s="866"/>
    </row>
    <row r="118" spans="2:14" ht="15.6">
      <c r="B118" s="810" t="s">
        <v>2632</v>
      </c>
      <c r="C118" s="810"/>
      <c r="D118" s="810">
        <v>0</v>
      </c>
      <c r="E118" s="810">
        <f>D118</f>
        <v>0</v>
      </c>
      <c r="F118" s="810"/>
      <c r="G118" s="810"/>
      <c r="H118" s="810"/>
      <c r="I118" s="812"/>
      <c r="J118" s="812"/>
      <c r="K118" s="812"/>
      <c r="L118" s="812"/>
      <c r="M118" s="866"/>
      <c r="N118" s="866"/>
    </row>
    <row r="119" spans="2:14" ht="15.6">
      <c r="B119" s="810"/>
      <c r="C119" s="810"/>
      <c r="D119" s="810"/>
      <c r="E119" s="830">
        <f>E114-E118</f>
        <v>53845290</v>
      </c>
      <c r="F119" s="810"/>
      <c r="G119" s="810"/>
      <c r="H119" s="810"/>
      <c r="I119" s="812"/>
      <c r="J119" s="812"/>
      <c r="K119" s="812"/>
      <c r="L119" s="812"/>
      <c r="M119" s="866"/>
      <c r="N119" s="866"/>
    </row>
    <row r="120" spans="2:14" ht="15.6">
      <c r="B120" s="810"/>
      <c r="C120" s="810"/>
      <c r="D120" s="810"/>
      <c r="E120" s="810"/>
      <c r="F120" s="810"/>
      <c r="G120" s="810"/>
      <c r="H120" s="810"/>
      <c r="I120" s="812"/>
      <c r="J120" s="812"/>
      <c r="K120" s="812"/>
      <c r="L120" s="812"/>
      <c r="M120" s="866"/>
      <c r="N120" s="866"/>
    </row>
    <row r="121" spans="2:14" ht="15.6">
      <c r="B121" s="810" t="s">
        <v>2633</v>
      </c>
      <c r="C121" s="810"/>
      <c r="D121" s="810"/>
      <c r="E121" s="810"/>
      <c r="F121" s="810"/>
      <c r="G121" s="810"/>
      <c r="H121" s="810"/>
      <c r="I121" s="812"/>
      <c r="J121" s="812"/>
      <c r="K121" s="812"/>
      <c r="L121" s="812"/>
      <c r="M121" s="866"/>
      <c r="N121" s="866"/>
    </row>
    <row r="122" spans="2:14" ht="15.6">
      <c r="B122" s="809" t="s">
        <v>2634</v>
      </c>
      <c r="C122" s="810"/>
      <c r="D122" s="810"/>
      <c r="E122" s="887" t="s">
        <v>2635</v>
      </c>
      <c r="F122" s="888"/>
      <c r="G122" s="889" t="s">
        <v>2636</v>
      </c>
      <c r="H122" s="889" t="s">
        <v>2637</v>
      </c>
      <c r="I122" s="812"/>
      <c r="J122" s="812"/>
      <c r="K122" s="812"/>
      <c r="L122" s="812"/>
      <c r="M122" s="866"/>
      <c r="N122" s="866"/>
    </row>
    <row r="123" spans="2:14" ht="15.6">
      <c r="B123" s="890">
        <v>50000000</v>
      </c>
      <c r="C123" s="830">
        <v>1000000000</v>
      </c>
      <c r="D123" s="810"/>
      <c r="E123" s="891"/>
      <c r="F123" s="892"/>
      <c r="G123" s="893"/>
      <c r="H123" s="894"/>
      <c r="I123" s="812"/>
      <c r="J123" s="812"/>
      <c r="K123" s="812"/>
      <c r="L123" s="812"/>
      <c r="M123" s="866"/>
      <c r="N123" s="866"/>
    </row>
    <row r="124" spans="2:14" ht="15.6">
      <c r="B124" s="810"/>
      <c r="C124" s="830"/>
      <c r="D124" s="810"/>
      <c r="E124" s="895">
        <f>4200000</f>
        <v>4200000</v>
      </c>
      <c r="F124" s="896"/>
      <c r="G124" s="897">
        <v>2040000</v>
      </c>
      <c r="H124" s="898">
        <f>E124-G124</f>
        <v>2160000</v>
      </c>
      <c r="I124" s="812"/>
      <c r="J124" s="812"/>
      <c r="K124" s="812"/>
      <c r="L124" s="812"/>
      <c r="M124" s="866"/>
      <c r="N124" s="866"/>
    </row>
  </sheetData>
  <mergeCells count="25">
    <mergeCell ref="C82:F83"/>
    <mergeCell ref="G82:G83"/>
    <mergeCell ref="H82:I82"/>
    <mergeCell ref="J82:J83"/>
    <mergeCell ref="K82:K83"/>
    <mergeCell ref="B12:M12"/>
    <mergeCell ref="J13:K13"/>
    <mergeCell ref="L13:M13"/>
    <mergeCell ref="J14:K14"/>
    <mergeCell ref="B52:I52"/>
    <mergeCell ref="J92:J93"/>
    <mergeCell ref="K92:K93"/>
    <mergeCell ref="C94:F94"/>
    <mergeCell ref="C95:F95"/>
    <mergeCell ref="C84:F84"/>
    <mergeCell ref="C85:F85"/>
    <mergeCell ref="C86:F86"/>
    <mergeCell ref="C87:F87"/>
    <mergeCell ref="C88:F88"/>
    <mergeCell ref="C92:F93"/>
    <mergeCell ref="C96:F96"/>
    <mergeCell ref="C97:F97"/>
    <mergeCell ref="C98:F98"/>
    <mergeCell ref="G92:G93"/>
    <mergeCell ref="H92:I92"/>
  </mergeCells>
  <pageMargins left="0.70866141732283472" right="0.70866141732283472" top="0.74803149606299213" bottom="0.74803149606299213" header="0.31496062992125984" footer="0.31496062992125984"/>
  <pageSetup scale="4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34"/>
  <sheetViews>
    <sheetView showGridLines="0" workbookViewId="0">
      <selection activeCell="G17" sqref="G17"/>
    </sheetView>
  </sheetViews>
  <sheetFormatPr defaultColWidth="8.88671875" defaultRowHeight="13.2"/>
  <cols>
    <col min="1" max="1" width="8.88671875" style="612"/>
    <col min="2" max="2" width="7.109375" style="612" bestFit="1" customWidth="1"/>
    <col min="3" max="3" width="66" style="612" customWidth="1"/>
    <col min="4" max="4" width="23.6640625" style="612" bestFit="1" customWidth="1"/>
    <col min="5" max="5" width="20.5546875" style="612" bestFit="1" customWidth="1"/>
    <col min="6" max="6" width="18.33203125" style="612" bestFit="1" customWidth="1"/>
    <col min="7" max="7" width="15" style="612" customWidth="1"/>
    <col min="8" max="8" width="8.88671875" style="612"/>
    <col min="9" max="9" width="38.5546875" style="612" customWidth="1"/>
    <col min="10" max="10" width="28.6640625" style="612" customWidth="1"/>
    <col min="11" max="11" width="37.5546875" style="612" bestFit="1" customWidth="1"/>
    <col min="12" max="16384" width="8.88671875" style="612"/>
  </cols>
  <sheetData>
    <row r="2" spans="2:11">
      <c r="B2" s="2342" t="s">
        <v>2826</v>
      </c>
      <c r="C2" s="2342"/>
      <c r="D2" s="2342"/>
      <c r="E2" s="2342"/>
      <c r="F2" s="2342"/>
      <c r="G2" s="2342"/>
      <c r="I2" s="2342" t="s">
        <v>2827</v>
      </c>
      <c r="J2" s="2342"/>
      <c r="K2" s="2342"/>
    </row>
    <row r="3" spans="2:11">
      <c r="B3" s="1086" t="s">
        <v>2828</v>
      </c>
      <c r="C3" s="1086" t="s">
        <v>2829</v>
      </c>
      <c r="D3" s="1086" t="s">
        <v>2830</v>
      </c>
      <c r="E3" s="1086" t="s">
        <v>2831</v>
      </c>
      <c r="F3" s="1086" t="s">
        <v>2832</v>
      </c>
      <c r="G3" s="1086" t="s">
        <v>2152</v>
      </c>
      <c r="I3" s="1086" t="s">
        <v>2829</v>
      </c>
      <c r="J3" s="1086" t="s">
        <v>2833</v>
      </c>
      <c r="K3" s="1086" t="s">
        <v>2834</v>
      </c>
    </row>
    <row r="4" spans="2:11">
      <c r="B4" s="1087"/>
      <c r="C4" s="1087"/>
      <c r="D4" s="1087"/>
      <c r="E4" s="1087"/>
      <c r="F4" s="1087"/>
      <c r="G4" s="1087"/>
      <c r="I4" s="1087"/>
      <c r="J4" s="1087"/>
      <c r="K4" s="1087"/>
    </row>
    <row r="5" spans="2:11" ht="15">
      <c r="B5" s="1087">
        <v>1</v>
      </c>
      <c r="C5" s="1088" t="s">
        <v>2835</v>
      </c>
      <c r="D5" s="1087" t="s">
        <v>2069</v>
      </c>
      <c r="E5" s="1087" t="s">
        <v>991</v>
      </c>
      <c r="F5" s="1087" t="s">
        <v>2836</v>
      </c>
      <c r="G5" s="1087">
        <v>3858557</v>
      </c>
      <c r="I5" s="1088" t="s">
        <v>2835</v>
      </c>
      <c r="J5" s="1087" t="s">
        <v>2837</v>
      </c>
      <c r="K5" s="1087" t="s">
        <v>2838</v>
      </c>
    </row>
    <row r="6" spans="2:11" ht="18">
      <c r="B6" s="1087">
        <v>2</v>
      </c>
      <c r="C6" s="1089" t="s">
        <v>2839</v>
      </c>
      <c r="D6" s="1087" t="s">
        <v>2069</v>
      </c>
      <c r="E6" s="1087" t="s">
        <v>991</v>
      </c>
      <c r="F6" s="1087" t="s">
        <v>2836</v>
      </c>
      <c r="G6" s="1087">
        <v>19470315</v>
      </c>
      <c r="I6" s="1089" t="s">
        <v>2839</v>
      </c>
      <c r="J6" s="1087" t="s">
        <v>2840</v>
      </c>
      <c r="K6" s="1087" t="s">
        <v>2838</v>
      </c>
    </row>
    <row r="7" spans="2:11" ht="18">
      <c r="B7" s="1090">
        <v>3</v>
      </c>
      <c r="C7" s="1091" t="s">
        <v>2841</v>
      </c>
      <c r="D7" s="1090" t="s">
        <v>2069</v>
      </c>
      <c r="E7" s="1090" t="s">
        <v>991</v>
      </c>
      <c r="F7" s="1090" t="s">
        <v>2836</v>
      </c>
      <c r="G7" s="1090">
        <v>3516510</v>
      </c>
      <c r="I7" s="1089" t="s">
        <v>2841</v>
      </c>
      <c r="J7" s="1087" t="s">
        <v>2842</v>
      </c>
      <c r="K7" s="1087" t="s">
        <v>2838</v>
      </c>
    </row>
    <row r="8" spans="2:11">
      <c r="B8" s="1087"/>
      <c r="C8" s="1087"/>
      <c r="D8" s="1087"/>
      <c r="E8" s="1087"/>
      <c r="F8" s="1087"/>
      <c r="G8" s="1087"/>
      <c r="I8" s="1087"/>
      <c r="J8" s="1087"/>
      <c r="K8" s="1087"/>
    </row>
    <row r="9" spans="2:11" ht="18">
      <c r="B9" s="1087">
        <v>4</v>
      </c>
      <c r="C9" s="1089" t="s">
        <v>2843</v>
      </c>
      <c r="D9" s="1087" t="s">
        <v>2844</v>
      </c>
      <c r="E9" s="1087" t="s">
        <v>991</v>
      </c>
      <c r="F9" s="1087" t="s">
        <v>2845</v>
      </c>
      <c r="G9" s="1087">
        <f>11512421-1187245</f>
        <v>10325176</v>
      </c>
      <c r="I9" s="1089" t="s">
        <v>2843</v>
      </c>
      <c r="J9" s="1087" t="s">
        <v>2846</v>
      </c>
      <c r="K9" s="1087" t="s">
        <v>2847</v>
      </c>
    </row>
    <row r="10" spans="2:11" ht="18">
      <c r="B10" s="1087">
        <v>5</v>
      </c>
      <c r="C10" s="1089" t="s">
        <v>2848</v>
      </c>
      <c r="D10" s="1087" t="s">
        <v>2844</v>
      </c>
      <c r="E10" s="1087" t="s">
        <v>991</v>
      </c>
      <c r="F10" s="1087" t="s">
        <v>2845</v>
      </c>
      <c r="G10" s="1087">
        <v>115495605</v>
      </c>
      <c r="I10" s="1089" t="s">
        <v>2848</v>
      </c>
      <c r="J10" s="1087" t="s">
        <v>2846</v>
      </c>
      <c r="K10" s="1087" t="s">
        <v>2847</v>
      </c>
    </row>
    <row r="11" spans="2:11">
      <c r="B11" s="1087"/>
      <c r="C11" s="1087"/>
      <c r="D11" s="1087"/>
      <c r="E11" s="1087"/>
      <c r="F11" s="1087"/>
      <c r="G11" s="1087"/>
      <c r="I11" s="1087"/>
      <c r="J11" s="1087"/>
      <c r="K11" s="1087"/>
    </row>
    <row r="12" spans="2:11" ht="18">
      <c r="B12" s="1087">
        <v>6</v>
      </c>
      <c r="C12" s="1089" t="s">
        <v>2849</v>
      </c>
      <c r="D12" s="1087" t="s">
        <v>2069</v>
      </c>
      <c r="E12" s="1087" t="s">
        <v>991</v>
      </c>
      <c r="F12" s="1087" t="s">
        <v>2836</v>
      </c>
      <c r="G12" s="1087">
        <v>2787194</v>
      </c>
      <c r="I12" s="1089" t="s">
        <v>2849</v>
      </c>
      <c r="J12" s="1087" t="s">
        <v>2846</v>
      </c>
      <c r="K12" s="1087" t="s">
        <v>2850</v>
      </c>
    </row>
    <row r="13" spans="2:11" ht="18">
      <c r="B13" s="1087"/>
      <c r="C13" s="1089"/>
      <c r="D13" s="1087"/>
      <c r="E13" s="1087"/>
      <c r="F13" s="1087"/>
      <c r="G13" s="1087"/>
      <c r="I13" s="1087"/>
      <c r="J13" s="1087"/>
      <c r="K13" s="1087"/>
    </row>
    <row r="14" spans="2:11" ht="18">
      <c r="B14" s="1087"/>
      <c r="C14" s="1089"/>
      <c r="D14" s="1087"/>
      <c r="E14" s="1087"/>
      <c r="F14" s="1087"/>
      <c r="G14" s="1087"/>
      <c r="I14" s="1087"/>
      <c r="J14" s="1087"/>
      <c r="K14" s="1087"/>
    </row>
    <row r="15" spans="2:11" ht="18">
      <c r="B15" s="1087"/>
      <c r="C15" s="1089"/>
      <c r="D15" s="1087"/>
      <c r="E15" s="1087"/>
      <c r="F15" s="1087"/>
      <c r="G15" s="1087"/>
      <c r="I15" s="1087"/>
      <c r="J15" s="1087"/>
      <c r="K15" s="1087"/>
    </row>
    <row r="16" spans="2:11" ht="18">
      <c r="B16" s="1087">
        <v>7</v>
      </c>
      <c r="C16" s="1089" t="s">
        <v>367</v>
      </c>
      <c r="D16" s="1087" t="s">
        <v>2851</v>
      </c>
      <c r="E16" s="1087"/>
      <c r="F16" s="1087" t="s">
        <v>2836</v>
      </c>
      <c r="G16" s="1087">
        <v>4493760</v>
      </c>
      <c r="I16" s="1089" t="s">
        <v>367</v>
      </c>
      <c r="J16" s="1087" t="s">
        <v>2852</v>
      </c>
      <c r="K16" s="1087"/>
    </row>
    <row r="17" spans="2:11">
      <c r="B17" s="1087">
        <v>8</v>
      </c>
      <c r="C17" s="1087" t="s">
        <v>2853</v>
      </c>
      <c r="D17" s="1087" t="s">
        <v>2844</v>
      </c>
      <c r="E17" s="1087"/>
      <c r="F17" s="1087" t="s">
        <v>2845</v>
      </c>
      <c r="G17" s="1087">
        <f>14450910-991221</f>
        <v>13459689</v>
      </c>
      <c r="I17" s="1087" t="s">
        <v>2853</v>
      </c>
      <c r="J17" s="1087" t="s">
        <v>2837</v>
      </c>
      <c r="K17" s="1087"/>
    </row>
    <row r="18" spans="2:11">
      <c r="B18" s="1087"/>
      <c r="C18" s="1087"/>
      <c r="D18" s="1087"/>
      <c r="E18" s="1087"/>
      <c r="F18" s="1087"/>
      <c r="G18" s="1087"/>
      <c r="I18" s="1087"/>
      <c r="J18" s="1087"/>
      <c r="K18" s="1087"/>
    </row>
    <row r="19" spans="2:11">
      <c r="B19" s="1087"/>
      <c r="C19" s="1087"/>
      <c r="D19" s="1087"/>
      <c r="E19" s="1087"/>
      <c r="F19" s="1087"/>
      <c r="G19" s="1087"/>
      <c r="I19" s="1087"/>
      <c r="J19" s="1087"/>
      <c r="K19" s="1087"/>
    </row>
    <row r="20" spans="2:11">
      <c r="B20" s="1087"/>
      <c r="C20" s="1087"/>
      <c r="D20" s="1087"/>
      <c r="E20" s="1087"/>
      <c r="F20" s="1087"/>
      <c r="G20" s="1087"/>
      <c r="I20" s="1087"/>
      <c r="J20" s="1087"/>
      <c r="K20" s="1087"/>
    </row>
    <row r="21" spans="2:11">
      <c r="B21" s="1087"/>
      <c r="C21" s="1087"/>
      <c r="D21" s="1087"/>
      <c r="E21" s="1087"/>
      <c r="F21" s="1087"/>
      <c r="G21" s="1087"/>
      <c r="I21" s="1087"/>
      <c r="J21" s="1087"/>
      <c r="K21" s="1087"/>
    </row>
    <row r="22" spans="2:11">
      <c r="B22" s="1087"/>
      <c r="C22" s="1087"/>
      <c r="D22" s="1087"/>
      <c r="E22" s="1087"/>
      <c r="F22" s="1087"/>
      <c r="G22" s="1087"/>
      <c r="I22" s="1087"/>
      <c r="J22" s="1087"/>
      <c r="K22" s="1087"/>
    </row>
    <row r="23" spans="2:11">
      <c r="B23" s="1087"/>
      <c r="C23" s="1087"/>
      <c r="D23" s="1087"/>
      <c r="E23" s="1087"/>
      <c r="F23" s="1087"/>
      <c r="G23" s="1087"/>
      <c r="I23" s="1087"/>
      <c r="J23" s="1087"/>
      <c r="K23" s="1087"/>
    </row>
    <row r="24" spans="2:11">
      <c r="B24" s="1087"/>
      <c r="C24" s="1087"/>
      <c r="D24" s="1087"/>
      <c r="E24" s="1087"/>
      <c r="F24" s="1087"/>
      <c r="G24" s="1087"/>
      <c r="I24" s="1087"/>
      <c r="J24" s="1087"/>
      <c r="K24" s="1087"/>
    </row>
    <row r="25" spans="2:11">
      <c r="B25" s="1087"/>
      <c r="C25" s="1087"/>
      <c r="D25" s="1087"/>
      <c r="E25" s="1087"/>
      <c r="F25" s="1087"/>
      <c r="G25" s="1087"/>
      <c r="I25" s="1087"/>
      <c r="J25" s="1087"/>
      <c r="K25" s="1087"/>
    </row>
    <row r="26" spans="2:11">
      <c r="B26" s="1087"/>
      <c r="C26" s="1087"/>
      <c r="D26" s="1087"/>
      <c r="E26" s="1087"/>
      <c r="F26" s="1087"/>
      <c r="G26" s="1087"/>
      <c r="I26" s="1087"/>
      <c r="J26" s="1087"/>
      <c r="K26" s="1087"/>
    </row>
    <row r="27" spans="2:11">
      <c r="B27" s="1087"/>
      <c r="C27" s="1087"/>
      <c r="D27" s="1087"/>
      <c r="E27" s="1087"/>
      <c r="F27" s="1087"/>
      <c r="G27" s="1087"/>
      <c r="I27" s="1087"/>
      <c r="J27" s="1087"/>
      <c r="K27" s="1087"/>
    </row>
    <row r="28" spans="2:11">
      <c r="B28" s="1087"/>
      <c r="C28" s="1087"/>
      <c r="D28" s="1087"/>
      <c r="E28" s="1087"/>
      <c r="F28" s="1087"/>
      <c r="G28" s="1087"/>
      <c r="I28" s="1087"/>
      <c r="J28" s="1087"/>
      <c r="K28" s="1087"/>
    </row>
    <row r="29" spans="2:11">
      <c r="B29" s="1087"/>
      <c r="C29" s="1087"/>
      <c r="D29" s="1087"/>
      <c r="E29" s="1087"/>
      <c r="F29" s="1087"/>
      <c r="G29" s="1087"/>
      <c r="I29" s="1087"/>
      <c r="J29" s="1087"/>
      <c r="K29" s="1087"/>
    </row>
    <row r="30" spans="2:11">
      <c r="B30" s="1087"/>
      <c r="C30" s="1087"/>
      <c r="D30" s="1087"/>
      <c r="E30" s="1087"/>
      <c r="F30" s="1087"/>
      <c r="G30" s="1087"/>
      <c r="I30" s="1087"/>
      <c r="J30" s="1087"/>
      <c r="K30" s="1087"/>
    </row>
    <row r="31" spans="2:11">
      <c r="B31" s="1087"/>
      <c r="C31" s="1087"/>
      <c r="D31" s="1087"/>
      <c r="E31" s="1087"/>
      <c r="F31" s="1087"/>
      <c r="G31" s="1087"/>
      <c r="I31" s="1087"/>
      <c r="J31" s="1087"/>
      <c r="K31" s="1087"/>
    </row>
    <row r="32" spans="2:11">
      <c r="B32" s="1087"/>
      <c r="C32" s="1087"/>
      <c r="D32" s="1087"/>
      <c r="E32" s="1087"/>
      <c r="F32" s="1087"/>
      <c r="G32" s="1087"/>
      <c r="I32" s="1087"/>
      <c r="J32" s="1087"/>
      <c r="K32" s="1087"/>
    </row>
    <row r="33" spans="2:11">
      <c r="B33" s="1087"/>
      <c r="C33" s="1087"/>
      <c r="D33" s="1087"/>
      <c r="E33" s="1087"/>
      <c r="F33" s="1087"/>
      <c r="G33" s="1087"/>
      <c r="I33" s="1087"/>
      <c r="J33" s="1087"/>
      <c r="K33" s="1087"/>
    </row>
    <row r="34" spans="2:11">
      <c r="B34" s="1087"/>
      <c r="C34" s="1087"/>
      <c r="D34" s="1087"/>
      <c r="E34" s="1087"/>
      <c r="F34" s="1087"/>
      <c r="G34" s="1087"/>
      <c r="I34" s="1087"/>
      <c r="J34" s="1087"/>
      <c r="K34" s="1087"/>
    </row>
  </sheetData>
  <mergeCells count="2">
    <mergeCell ref="B2:G2"/>
    <mergeCell ref="I2:K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X122"/>
  <sheetViews>
    <sheetView view="pageBreakPreview" zoomScale="80" zoomScaleNormal="85" zoomScaleSheetLayoutView="80" workbookViewId="0">
      <selection activeCell="C39" sqref="C39"/>
    </sheetView>
  </sheetViews>
  <sheetFormatPr defaultColWidth="9.109375" defaultRowHeight="14.4"/>
  <cols>
    <col min="1" max="1" width="30.44140625" customWidth="1"/>
    <col min="2" max="2" width="22.109375" customWidth="1"/>
    <col min="3" max="4" width="19.5546875" customWidth="1"/>
    <col min="5" max="5" width="22.109375" customWidth="1"/>
    <col min="6" max="6" width="21.6640625" customWidth="1"/>
    <col min="7" max="9" width="19.5546875" customWidth="1"/>
    <col min="10" max="10" width="20.6640625" customWidth="1"/>
    <col min="11" max="11" width="35" customWidth="1"/>
    <col min="12" max="12" width="16.44140625" bestFit="1" customWidth="1"/>
    <col min="13" max="13" width="15.33203125" bestFit="1" customWidth="1"/>
    <col min="14" max="14" width="14.88671875" bestFit="1" customWidth="1"/>
    <col min="15" max="15" width="13.88671875" bestFit="1" customWidth="1"/>
    <col min="16" max="16" width="15" bestFit="1" customWidth="1"/>
    <col min="18" max="18" width="12.44140625" bestFit="1" customWidth="1"/>
  </cols>
  <sheetData>
    <row r="1" spans="1:12">
      <c r="A1" s="146" t="s">
        <v>1219</v>
      </c>
      <c r="K1">
        <v>100000</v>
      </c>
    </row>
    <row r="2" spans="1:12">
      <c r="A2" s="146"/>
    </row>
    <row r="4" spans="1:12" ht="31.95" customHeight="1">
      <c r="A4" s="542" t="s">
        <v>1220</v>
      </c>
      <c r="B4" s="631" t="s">
        <v>192</v>
      </c>
      <c r="C4" s="631" t="s">
        <v>1221</v>
      </c>
      <c r="D4" s="631" t="s">
        <v>302</v>
      </c>
      <c r="E4" s="631" t="s">
        <v>1222</v>
      </c>
      <c r="F4" s="631" t="s">
        <v>1223</v>
      </c>
      <c r="G4" s="631" t="s">
        <v>1224</v>
      </c>
      <c r="H4" s="631" t="s">
        <v>1225</v>
      </c>
      <c r="I4" s="631" t="s">
        <v>1226</v>
      </c>
      <c r="J4" s="542" t="s">
        <v>461</v>
      </c>
    </row>
    <row r="5" spans="1:12">
      <c r="A5" s="1019" t="s">
        <v>1227</v>
      </c>
      <c r="B5" s="148"/>
      <c r="C5" s="148"/>
      <c r="D5" s="148"/>
      <c r="E5" s="148"/>
      <c r="F5" s="148"/>
      <c r="G5" s="148"/>
      <c r="H5" s="148"/>
      <c r="I5" s="148"/>
      <c r="J5" s="149"/>
    </row>
    <row r="6" spans="1:12">
      <c r="A6" s="1019" t="s">
        <v>1263</v>
      </c>
      <c r="B6" s="1020">
        <f>+B86</f>
        <v>33964999.899999999</v>
      </c>
      <c r="C6" s="1020">
        <f>+B87</f>
        <v>58923230.529999994</v>
      </c>
      <c r="D6" s="1020">
        <f>+B88</f>
        <v>215300342.50799999</v>
      </c>
      <c r="E6" s="1021">
        <f>+B89</f>
        <v>2991111</v>
      </c>
      <c r="F6" s="1020">
        <f>+B90</f>
        <v>744525.7</v>
      </c>
      <c r="G6" s="1020">
        <f>+B91</f>
        <v>1024059.5</v>
      </c>
      <c r="H6" s="1020">
        <f>+B92</f>
        <v>1330214.03</v>
      </c>
      <c r="I6" s="1020">
        <f>+B93</f>
        <v>26188108.080000002</v>
      </c>
      <c r="J6" s="1022">
        <f>+B99</f>
        <v>313007.1399999992</v>
      </c>
    </row>
    <row r="7" spans="1:12">
      <c r="A7" s="148" t="s">
        <v>1228</v>
      </c>
      <c r="B7" s="1023">
        <f>+C86</f>
        <v>0</v>
      </c>
      <c r="C7" s="1023">
        <f>+C87</f>
        <v>2363147.9900000002</v>
      </c>
      <c r="D7" s="1023">
        <f>+C88</f>
        <v>6804070.8600000003</v>
      </c>
      <c r="E7" s="1024">
        <f>+C89</f>
        <v>0</v>
      </c>
      <c r="F7" s="1023">
        <f>+C90</f>
        <v>124109.75771976</v>
      </c>
      <c r="G7" s="1023">
        <f>+C91</f>
        <v>99683.63</v>
      </c>
      <c r="H7" s="1023">
        <f>+C92</f>
        <v>13983</v>
      </c>
      <c r="I7" s="1023">
        <f>+C93</f>
        <v>270480</v>
      </c>
      <c r="J7" s="1022">
        <f>+C99+0.86</f>
        <v>44022622.499999993</v>
      </c>
    </row>
    <row r="8" spans="1:12">
      <c r="A8" s="148" t="s">
        <v>1229</v>
      </c>
      <c r="B8" s="1023">
        <f>+D86</f>
        <v>0</v>
      </c>
      <c r="C8" s="1023">
        <f>+D87</f>
        <v>0</v>
      </c>
      <c r="D8" s="1023">
        <f>+D88</f>
        <v>0</v>
      </c>
      <c r="E8" s="1024">
        <f>+D89</f>
        <v>0</v>
      </c>
      <c r="F8" s="1023">
        <f>+D90</f>
        <v>0</v>
      </c>
      <c r="G8" s="1023">
        <f>+D91</f>
        <v>0</v>
      </c>
      <c r="H8" s="1023">
        <f>+D92</f>
        <v>0</v>
      </c>
      <c r="I8" s="1023">
        <f>+D93</f>
        <v>0</v>
      </c>
      <c r="J8" s="1022">
        <f>+D99</f>
        <v>3954879.42</v>
      </c>
    </row>
    <row r="9" spans="1:12">
      <c r="A9" s="1019" t="s">
        <v>1230</v>
      </c>
      <c r="B9" s="1020">
        <f>+B6+B7-B8</f>
        <v>33964999.899999999</v>
      </c>
      <c r="C9" s="1020">
        <f t="shared" ref="C9:J9" si="0">+C6+C7-C8</f>
        <v>61286378.519999996</v>
      </c>
      <c r="D9" s="1020">
        <f t="shared" si="0"/>
        <v>222104413.368</v>
      </c>
      <c r="E9" s="1020">
        <f t="shared" si="0"/>
        <v>2991111</v>
      </c>
      <c r="F9" s="1020">
        <f t="shared" si="0"/>
        <v>868635.45771976002</v>
      </c>
      <c r="G9" s="1020">
        <f t="shared" si="0"/>
        <v>1123743.1299999999</v>
      </c>
      <c r="H9" s="1020">
        <f t="shared" si="0"/>
        <v>1344197.03</v>
      </c>
      <c r="I9" s="1020">
        <f t="shared" si="0"/>
        <v>26458588.080000002</v>
      </c>
      <c r="J9" s="1020">
        <f t="shared" si="0"/>
        <v>40380750.219999991</v>
      </c>
    </row>
    <row r="10" spans="1:12">
      <c r="A10" s="148" t="s">
        <v>1228</v>
      </c>
      <c r="B10" s="1023">
        <f>+C62</f>
        <v>0</v>
      </c>
      <c r="C10" s="1023">
        <f>+C63</f>
        <v>2830332</v>
      </c>
      <c r="D10" s="1023">
        <f>+C64</f>
        <v>63178</v>
      </c>
      <c r="E10" s="1024">
        <f>+C65</f>
        <v>0</v>
      </c>
      <c r="F10" s="1023">
        <f>+C66</f>
        <v>29800</v>
      </c>
      <c r="G10" s="1023">
        <f>+C67</f>
        <v>0</v>
      </c>
      <c r="H10" s="1023">
        <f>+C68</f>
        <v>540632</v>
      </c>
      <c r="I10" s="1023">
        <f>+C69</f>
        <v>98460</v>
      </c>
      <c r="J10" s="1022">
        <f>+C75</f>
        <v>108896814.39000002</v>
      </c>
    </row>
    <row r="11" spans="1:12">
      <c r="A11" s="148" t="s">
        <v>1229</v>
      </c>
      <c r="B11" s="1023">
        <f>+D62</f>
        <v>0</v>
      </c>
      <c r="C11" s="1023">
        <f>+D63</f>
        <v>0</v>
      </c>
      <c r="D11" s="1023">
        <f>+D64</f>
        <v>0</v>
      </c>
      <c r="E11" s="1024">
        <f>+D65</f>
        <v>0</v>
      </c>
      <c r="F11" s="1023">
        <f>+D66</f>
        <v>0</v>
      </c>
      <c r="G11" s="1023">
        <f>+D67</f>
        <v>0</v>
      </c>
      <c r="H11" s="1023">
        <f>+D68</f>
        <v>0</v>
      </c>
      <c r="I11" s="1023">
        <f>+D69</f>
        <v>0</v>
      </c>
      <c r="J11" s="1022">
        <f>+D75</f>
        <v>2830332</v>
      </c>
    </row>
    <row r="12" spans="1:12">
      <c r="A12" s="147" t="s">
        <v>1262</v>
      </c>
      <c r="B12" s="1025">
        <f>+B9+B10-B11</f>
        <v>33964999.899999999</v>
      </c>
      <c r="C12" s="1025">
        <f t="shared" ref="C12:J12" si="1">+C9+C10-C11</f>
        <v>64116710.519999996</v>
      </c>
      <c r="D12" s="1025">
        <f t="shared" si="1"/>
        <v>222167591.368</v>
      </c>
      <c r="E12" s="1026">
        <f t="shared" si="1"/>
        <v>2991111</v>
      </c>
      <c r="F12" s="1025">
        <f t="shared" si="1"/>
        <v>898435.45771976002</v>
      </c>
      <c r="G12" s="1025">
        <f t="shared" si="1"/>
        <v>1123743.1299999999</v>
      </c>
      <c r="H12" s="1025">
        <f t="shared" si="1"/>
        <v>1884829.03</v>
      </c>
      <c r="I12" s="1025">
        <f t="shared" si="1"/>
        <v>26557048.080000002</v>
      </c>
      <c r="J12" s="1025">
        <f t="shared" si="1"/>
        <v>146447232.61000001</v>
      </c>
      <c r="K12">
        <v>146320240.61000001</v>
      </c>
      <c r="L12" s="630">
        <f>+J12-K12</f>
        <v>126992</v>
      </c>
    </row>
    <row r="13" spans="1:12">
      <c r="A13" s="148"/>
      <c r="B13" s="148"/>
      <c r="C13" s="148"/>
      <c r="D13" s="148"/>
      <c r="E13" s="1024"/>
      <c r="F13" s="148"/>
      <c r="G13" s="148"/>
      <c r="H13" s="148"/>
      <c r="I13" s="148"/>
      <c r="J13" s="149"/>
    </row>
    <row r="14" spans="1:12">
      <c r="A14" s="1019" t="s">
        <v>144</v>
      </c>
      <c r="B14" s="148"/>
      <c r="C14" s="148"/>
      <c r="D14" s="148"/>
      <c r="E14" s="1024"/>
      <c r="F14" s="148"/>
      <c r="G14" s="148"/>
      <c r="H14" s="148"/>
      <c r="I14" s="148"/>
      <c r="J14" s="149"/>
    </row>
    <row r="15" spans="1:12">
      <c r="A15" s="1019" t="s">
        <v>1263</v>
      </c>
      <c r="B15" s="1020">
        <f>+F86</f>
        <v>0</v>
      </c>
      <c r="C15" s="1020">
        <f>+F87</f>
        <v>5534893.9886987675</v>
      </c>
      <c r="D15" s="1020">
        <f>+F88</f>
        <v>99496168.438061088</v>
      </c>
      <c r="E15" s="1021">
        <f>+F89</f>
        <v>558719.83806600736</v>
      </c>
      <c r="F15" s="1020">
        <f>+F90</f>
        <v>688913.61548858462</v>
      </c>
      <c r="G15" s="1020">
        <f>+F91</f>
        <v>598525.87082759</v>
      </c>
      <c r="H15" s="1020">
        <f>+F92</f>
        <v>1014017.3961523059</v>
      </c>
      <c r="I15" s="1020">
        <f>+F93</f>
        <v>16345550.182161208</v>
      </c>
      <c r="J15" s="1020">
        <v>0</v>
      </c>
    </row>
    <row r="16" spans="1:12">
      <c r="A16" s="148" t="s">
        <v>1228</v>
      </c>
      <c r="B16" s="1023">
        <f>+G86</f>
        <v>0</v>
      </c>
      <c r="C16" s="1023">
        <f>+G87+0.0445187091827393</f>
        <v>1905326.5265378875</v>
      </c>
      <c r="D16" s="1023">
        <f>+G88</f>
        <v>13628774.029168235</v>
      </c>
      <c r="E16" s="1024">
        <f>+G89</f>
        <v>369148.96419712796</v>
      </c>
      <c r="F16" s="1023">
        <f>+G90</f>
        <v>41542.628027397266</v>
      </c>
      <c r="G16" s="1023">
        <f>+G91</f>
        <v>113996.87240821918</v>
      </c>
      <c r="H16" s="1023">
        <f>+G92</f>
        <v>48716.19506216341</v>
      </c>
      <c r="I16" s="1023">
        <f>+G93</f>
        <v>1850243.3204432426</v>
      </c>
      <c r="J16" s="1023">
        <f>+H110</f>
        <v>0</v>
      </c>
    </row>
    <row r="17" spans="1:24">
      <c r="A17" s="148" t="s">
        <v>1229</v>
      </c>
      <c r="B17" s="1023">
        <f>+H86</f>
        <v>0</v>
      </c>
      <c r="C17" s="1023">
        <f>+H87</f>
        <v>0</v>
      </c>
      <c r="D17" s="1023">
        <f>+H88</f>
        <v>0</v>
      </c>
      <c r="E17" s="1024">
        <f>+H89</f>
        <v>0</v>
      </c>
      <c r="F17" s="1023">
        <f>+H90</f>
        <v>0</v>
      </c>
      <c r="G17" s="1023">
        <f>+H91</f>
        <v>0</v>
      </c>
      <c r="H17" s="1023">
        <f>+H92</f>
        <v>0</v>
      </c>
      <c r="I17" s="1023">
        <f>+H93</f>
        <v>0</v>
      </c>
      <c r="J17" s="1023">
        <v>0</v>
      </c>
    </row>
    <row r="18" spans="1:24">
      <c r="A18" s="1019" t="s">
        <v>1230</v>
      </c>
      <c r="B18" s="1020">
        <f>+B15+B16-B17</f>
        <v>0</v>
      </c>
      <c r="C18" s="1020">
        <f t="shared" ref="C18:J18" si="2">+C15+C16-C17</f>
        <v>7440220.5152366553</v>
      </c>
      <c r="D18" s="1020">
        <f t="shared" si="2"/>
        <v>113124942.46722932</v>
      </c>
      <c r="E18" s="1021">
        <f t="shared" si="2"/>
        <v>927868.80226313532</v>
      </c>
      <c r="F18" s="1020">
        <f t="shared" si="2"/>
        <v>730456.24351598183</v>
      </c>
      <c r="G18" s="1020">
        <f t="shared" si="2"/>
        <v>712522.74323580915</v>
      </c>
      <c r="H18" s="1020">
        <f t="shared" si="2"/>
        <v>1062733.5912144694</v>
      </c>
      <c r="I18" s="1020">
        <f t="shared" si="2"/>
        <v>18195793.502604451</v>
      </c>
      <c r="J18" s="1020">
        <f t="shared" si="2"/>
        <v>0</v>
      </c>
    </row>
    <row r="19" spans="1:24">
      <c r="A19" s="148" t="s">
        <v>1228</v>
      </c>
      <c r="B19" s="1023">
        <f>+G86</f>
        <v>0</v>
      </c>
      <c r="C19" s="1023">
        <f>+G63+0.47</f>
        <v>1989109.47</v>
      </c>
      <c r="D19" s="1023">
        <f>+G64+0.47</f>
        <v>13650885.470000001</v>
      </c>
      <c r="E19" s="1024">
        <f>+G65+0.47</f>
        <v>369149.47</v>
      </c>
      <c r="F19" s="1023">
        <f>+G66+0.47</f>
        <v>45170.47</v>
      </c>
      <c r="G19" s="1023">
        <f>+G67+0.47</f>
        <v>114072.47</v>
      </c>
      <c r="H19" s="1023">
        <f>+G68+0.47</f>
        <v>56194.47</v>
      </c>
      <c r="I19" s="1023">
        <f>+G69+0.47</f>
        <v>1857088.47</v>
      </c>
      <c r="J19" s="1023">
        <v>0</v>
      </c>
    </row>
    <row r="20" spans="1:24">
      <c r="A20" s="148" t="s">
        <v>1229</v>
      </c>
      <c r="B20" s="1023">
        <f>+H86</f>
        <v>0</v>
      </c>
      <c r="C20" s="1023">
        <f>+H87</f>
        <v>0</v>
      </c>
      <c r="D20" s="1023">
        <f>+H88</f>
        <v>0</v>
      </c>
      <c r="E20" s="1024">
        <f>+H89</f>
        <v>0</v>
      </c>
      <c r="F20" s="1023">
        <f>+H90</f>
        <v>0</v>
      </c>
      <c r="G20" s="1023">
        <f>+H91</f>
        <v>0</v>
      </c>
      <c r="H20" s="1023">
        <f>+H92</f>
        <v>0</v>
      </c>
      <c r="I20" s="1023">
        <f>+H93</f>
        <v>0</v>
      </c>
      <c r="J20" s="1023">
        <v>0</v>
      </c>
    </row>
    <row r="21" spans="1:24">
      <c r="A21" s="147" t="s">
        <v>1262</v>
      </c>
      <c r="B21" s="1025">
        <f>+B18+B19-B20</f>
        <v>0</v>
      </c>
      <c r="C21" s="1025">
        <f t="shared" ref="C21:J21" si="3">+C18+C19-C20</f>
        <v>9429329.9852366559</v>
      </c>
      <c r="D21" s="1025">
        <f t="shared" si="3"/>
        <v>126775827.93722932</v>
      </c>
      <c r="E21" s="1025">
        <f t="shared" si="3"/>
        <v>1297018.2722631353</v>
      </c>
      <c r="F21" s="1025">
        <f t="shared" si="3"/>
        <v>775626.7135159818</v>
      </c>
      <c r="G21" s="1025">
        <f t="shared" si="3"/>
        <v>826595.21323580912</v>
      </c>
      <c r="H21" s="1025">
        <f t="shared" si="3"/>
        <v>1118928.0612144694</v>
      </c>
      <c r="I21" s="1025">
        <f t="shared" si="3"/>
        <v>20052881.97260445</v>
      </c>
      <c r="J21" s="1025">
        <f t="shared" si="3"/>
        <v>0</v>
      </c>
    </row>
    <row r="22" spans="1:24">
      <c r="A22" s="148"/>
      <c r="B22" s="148"/>
      <c r="C22" s="148"/>
      <c r="D22" s="148"/>
      <c r="E22" s="148"/>
      <c r="F22" s="148"/>
      <c r="G22" s="148"/>
      <c r="H22" s="148"/>
      <c r="I22" s="148"/>
      <c r="J22" s="149"/>
    </row>
    <row r="23" spans="1:24">
      <c r="A23" s="147" t="s">
        <v>1263</v>
      </c>
      <c r="B23" s="1025">
        <f>+B6-B15</f>
        <v>33964999.899999999</v>
      </c>
      <c r="C23" s="1025">
        <f t="shared" ref="C23:J23" si="4">+C6-C15</f>
        <v>53388336.541301228</v>
      </c>
      <c r="D23" s="1025">
        <f t="shared" si="4"/>
        <v>115804174.0699389</v>
      </c>
      <c r="E23" s="1025">
        <f t="shared" si="4"/>
        <v>2432391.1619339925</v>
      </c>
      <c r="F23" s="1025">
        <f t="shared" si="4"/>
        <v>55612.084511415334</v>
      </c>
      <c r="G23" s="1025">
        <f t="shared" si="4"/>
        <v>425533.62917241</v>
      </c>
      <c r="H23" s="1025">
        <f t="shared" si="4"/>
        <v>316196.63384769415</v>
      </c>
      <c r="I23" s="1025">
        <f t="shared" si="4"/>
        <v>9842557.8978387937</v>
      </c>
      <c r="J23" s="1025">
        <f t="shared" si="4"/>
        <v>313007.1399999992</v>
      </c>
    </row>
    <row r="24" spans="1:24">
      <c r="A24" s="1027" t="s">
        <v>1230</v>
      </c>
      <c r="B24" s="1028">
        <f>+B9-B18</f>
        <v>33964999.899999999</v>
      </c>
      <c r="C24" s="1028">
        <f t="shared" ref="C24:J24" si="5">+C9-C18</f>
        <v>53846158.004763342</v>
      </c>
      <c r="D24" s="1028">
        <f t="shared" si="5"/>
        <v>108979470.90077068</v>
      </c>
      <c r="E24" s="1028">
        <f t="shared" si="5"/>
        <v>2063242.1977368647</v>
      </c>
      <c r="F24" s="1028">
        <f t="shared" si="5"/>
        <v>138179.21420377819</v>
      </c>
      <c r="G24" s="1028">
        <f t="shared" si="5"/>
        <v>411220.38676419074</v>
      </c>
      <c r="H24" s="1028">
        <f t="shared" si="5"/>
        <v>281463.43878553063</v>
      </c>
      <c r="I24" s="1028">
        <f t="shared" si="5"/>
        <v>8262794.5773955509</v>
      </c>
      <c r="J24" s="1028">
        <f t="shared" si="5"/>
        <v>40380750.219999991</v>
      </c>
      <c r="W24" t="s">
        <v>1235</v>
      </c>
      <c r="X24" t="s">
        <v>2768</v>
      </c>
    </row>
    <row r="25" spans="1:24">
      <c r="A25" s="1029" t="s">
        <v>1262</v>
      </c>
      <c r="B25" s="1030">
        <f>+B12-B21</f>
        <v>33964999.899999999</v>
      </c>
      <c r="C25" s="1030">
        <f t="shared" ref="C25:J25" si="6">+C12-C21</f>
        <v>54687380.534763336</v>
      </c>
      <c r="D25" s="1030">
        <f t="shared" si="6"/>
        <v>95391763.43077068</v>
      </c>
      <c r="E25" s="1030">
        <f t="shared" si="6"/>
        <v>1694092.7277368647</v>
      </c>
      <c r="F25" s="1030">
        <f t="shared" si="6"/>
        <v>122808.74420377822</v>
      </c>
      <c r="G25" s="1030">
        <f t="shared" si="6"/>
        <v>297147.91676419077</v>
      </c>
      <c r="H25" s="1030">
        <f t="shared" si="6"/>
        <v>765900.96878553065</v>
      </c>
      <c r="I25" s="1030">
        <f t="shared" si="6"/>
        <v>6504166.1073955521</v>
      </c>
      <c r="J25" s="1030">
        <f t="shared" si="6"/>
        <v>146447232.61000001</v>
      </c>
      <c r="V25" t="s">
        <v>460</v>
      </c>
      <c r="W25" s="504">
        <f>1374004-X25</f>
        <v>663004</v>
      </c>
      <c r="X25" s="504">
        <v>711000</v>
      </c>
    </row>
    <row r="26" spans="1:24">
      <c r="V26" t="s">
        <v>462</v>
      </c>
      <c r="W26" s="504">
        <f>198800-X26</f>
        <v>45750</v>
      </c>
      <c r="X26" s="504">
        <v>153050</v>
      </c>
    </row>
    <row r="27" spans="1:24">
      <c r="A27" s="151" t="s">
        <v>1231</v>
      </c>
      <c r="M27" t="s">
        <v>874</v>
      </c>
      <c r="N27" t="s">
        <v>2358</v>
      </c>
      <c r="O27" t="s">
        <v>1247</v>
      </c>
      <c r="P27" t="s">
        <v>533</v>
      </c>
      <c r="V27" t="s">
        <v>463</v>
      </c>
      <c r="W27" s="504">
        <f>9930454-X27</f>
        <v>7860196</v>
      </c>
      <c r="X27" s="504">
        <v>2070258</v>
      </c>
    </row>
    <row r="28" spans="1:24">
      <c r="A28" t="s">
        <v>3143</v>
      </c>
      <c r="K28" t="s">
        <v>2380</v>
      </c>
      <c r="L28" t="s">
        <v>991</v>
      </c>
      <c r="M28" s="1032">
        <f t="shared" ref="M28:M29" si="7">+P29</f>
        <v>40380750.019999996</v>
      </c>
      <c r="N28" s="1032">
        <v>106354564.16</v>
      </c>
      <c r="O28" s="1032">
        <v>10244145</v>
      </c>
      <c r="P28" s="1032">
        <f>+M28+N28-O28</f>
        <v>136491169.18000001</v>
      </c>
      <c r="R28" s="136">
        <f>+N28-O28</f>
        <v>96110419.159999996</v>
      </c>
      <c r="V28" t="s">
        <v>464</v>
      </c>
      <c r="W28" s="504">
        <f>491595-X28</f>
        <v>464592</v>
      </c>
      <c r="X28" s="504">
        <v>27003</v>
      </c>
    </row>
    <row r="29" spans="1:24">
      <c r="K29" s="627" t="s">
        <v>2381</v>
      </c>
      <c r="L29" t="s">
        <v>992</v>
      </c>
      <c r="M29" s="1032">
        <f t="shared" si="7"/>
        <v>313007.79999999981</v>
      </c>
      <c r="N29" s="1032">
        <v>44022621.640000001</v>
      </c>
      <c r="O29" s="1032">
        <v>3954879.42</v>
      </c>
      <c r="P29" s="1032">
        <f>+M29+N29-O29</f>
        <v>40380750.019999996</v>
      </c>
      <c r="R29" s="136">
        <f>+N29-O29</f>
        <v>40067742.219999999</v>
      </c>
      <c r="V29" t="s">
        <v>513</v>
      </c>
      <c r="W29" s="504">
        <v>6416446.9100000001</v>
      </c>
      <c r="X29" s="504">
        <v>0</v>
      </c>
    </row>
    <row r="30" spans="1:24">
      <c r="A30" t="s">
        <v>1232</v>
      </c>
      <c r="K30" s="627" t="s">
        <v>2381</v>
      </c>
      <c r="L30" t="s">
        <v>2378</v>
      </c>
      <c r="M30" s="1032">
        <f>+P31</f>
        <v>402479</v>
      </c>
      <c r="N30" s="1032">
        <v>6025711.6200000001</v>
      </c>
      <c r="O30" s="1032">
        <v>6115182.8200000003</v>
      </c>
      <c r="P30" s="1032">
        <f>+M30+N30-O30</f>
        <v>313007.79999999981</v>
      </c>
      <c r="V30" t="s">
        <v>487</v>
      </c>
      <c r="W30" s="12">
        <f>26642149.92-X30</f>
        <v>22526626.920000002</v>
      </c>
      <c r="X30" s="504">
        <v>4115523</v>
      </c>
    </row>
    <row r="31" spans="1:24">
      <c r="K31" s="627" t="s">
        <v>2382</v>
      </c>
      <c r="L31" t="s">
        <v>2379</v>
      </c>
      <c r="M31" s="1032">
        <v>484789</v>
      </c>
      <c r="N31" s="1032">
        <v>5143635.54</v>
      </c>
      <c r="O31" s="1032">
        <v>5225945.54</v>
      </c>
      <c r="P31" s="1032">
        <f>+M31+N31-O31</f>
        <v>402479</v>
      </c>
      <c r="V31" t="s">
        <v>2765</v>
      </c>
      <c r="W31">
        <v>300000</v>
      </c>
      <c r="X31" s="504">
        <v>0</v>
      </c>
    </row>
    <row r="32" spans="1:24">
      <c r="A32" s="146" t="s">
        <v>2376</v>
      </c>
      <c r="V32" t="s">
        <v>514</v>
      </c>
      <c r="W32" s="12">
        <f>83604790.78-X32</f>
        <v>68162084.870000005</v>
      </c>
      <c r="X32" s="504">
        <v>15442705.91</v>
      </c>
    </row>
    <row r="33" spans="1:24">
      <c r="V33" t="s">
        <v>2769</v>
      </c>
      <c r="W33" s="12">
        <f>17362000-X33</f>
        <v>639287</v>
      </c>
      <c r="X33" s="504">
        <v>16722713</v>
      </c>
    </row>
    <row r="34" spans="1:24">
      <c r="A34" s="2343" t="s">
        <v>1233</v>
      </c>
      <c r="B34" s="2283" t="s">
        <v>1234</v>
      </c>
      <c r="C34" s="2283"/>
      <c r="D34" s="2283"/>
      <c r="E34" s="2283"/>
      <c r="F34" s="2283"/>
      <c r="W34" s="671">
        <f>+SUM(W25:W33)</f>
        <v>107077987.7</v>
      </c>
      <c r="X34" s="671">
        <f>+SUM(X25:X33)</f>
        <v>39242252.909999996</v>
      </c>
    </row>
    <row r="35" spans="1:24">
      <c r="A35" s="2343"/>
      <c r="B35" s="147" t="s">
        <v>1235</v>
      </c>
      <c r="C35" s="147" t="s">
        <v>1236</v>
      </c>
      <c r="D35" s="147" t="s">
        <v>1237</v>
      </c>
      <c r="E35" s="147" t="s">
        <v>1238</v>
      </c>
      <c r="F35" s="147" t="s">
        <v>911</v>
      </c>
    </row>
    <row r="36" spans="1:24">
      <c r="A36" s="1031" t="s">
        <v>1239</v>
      </c>
      <c r="B36" s="152"/>
      <c r="C36" s="152"/>
      <c r="D36" s="152"/>
      <c r="E36" s="152"/>
      <c r="F36" s="152"/>
    </row>
    <row r="37" spans="1:24">
      <c r="A37" s="1031"/>
      <c r="B37" s="152"/>
      <c r="C37" s="152"/>
      <c r="D37" s="152"/>
      <c r="E37" s="152"/>
      <c r="F37" s="152"/>
    </row>
    <row r="38" spans="1:24">
      <c r="A38" s="152" t="s">
        <v>3148</v>
      </c>
      <c r="B38" s="1601">
        <f>7700000+99504980</f>
        <v>107204980</v>
      </c>
      <c r="C38" s="1601">
        <f>+F51</f>
        <v>39242251.689999998</v>
      </c>
      <c r="D38" s="1601"/>
      <c r="E38" s="1601"/>
      <c r="F38" s="1033">
        <f>+SUM(B38:E38)</f>
        <v>146447231.69</v>
      </c>
      <c r="H38" s="136"/>
      <c r="K38" s="627"/>
      <c r="M38" s="1032"/>
      <c r="N38" s="1032"/>
      <c r="O38" s="1032"/>
      <c r="P38" s="1032"/>
    </row>
    <row r="39" spans="1:24">
      <c r="A39" s="1081"/>
      <c r="B39" s="1601"/>
      <c r="C39" s="1601"/>
      <c r="D39" s="1601"/>
      <c r="E39" s="1601"/>
      <c r="F39" s="1601"/>
      <c r="K39" s="627"/>
      <c r="M39" s="1032"/>
      <c r="N39" s="1032"/>
      <c r="O39" s="1032"/>
      <c r="P39" s="1032"/>
    </row>
    <row r="40" spans="1:24">
      <c r="A40" s="152" t="s">
        <v>1240</v>
      </c>
      <c r="B40" s="1033">
        <v>0</v>
      </c>
      <c r="C40" s="1033">
        <v>0</v>
      </c>
      <c r="D40" s="1033">
        <v>0</v>
      </c>
      <c r="E40" s="1033">
        <v>0</v>
      </c>
      <c r="F40" s="1033">
        <f>+SUM(B40:E40)</f>
        <v>0</v>
      </c>
      <c r="H40" s="136"/>
    </row>
    <row r="41" spans="1:24">
      <c r="A41" s="152"/>
      <c r="B41" s="1033"/>
      <c r="C41" s="1033"/>
      <c r="D41" s="1033"/>
      <c r="E41" s="1033"/>
      <c r="F41" s="1033"/>
    </row>
    <row r="42" spans="1:24">
      <c r="A42" s="152" t="s">
        <v>911</v>
      </c>
      <c r="B42" s="1033">
        <f>+SUM(B37:B41)</f>
        <v>107204980</v>
      </c>
      <c r="C42" s="1033">
        <f>+SUM(C37:C41)</f>
        <v>39242251.689999998</v>
      </c>
      <c r="D42" s="1033">
        <f>+SUM(D37:D41)</f>
        <v>0</v>
      </c>
      <c r="E42" s="1033">
        <f>+SUM(E37:E41)</f>
        <v>0</v>
      </c>
      <c r="F42" s="1033">
        <f>+SUM(F37:F41)</f>
        <v>146447231.69</v>
      </c>
    </row>
    <row r="43" spans="1:24">
      <c r="B43" s="136"/>
      <c r="C43" s="136"/>
      <c r="D43" s="136"/>
      <c r="E43" s="136"/>
      <c r="F43" s="136"/>
    </row>
    <row r="44" spans="1:24">
      <c r="B44" s="136"/>
      <c r="C44" s="136"/>
      <c r="D44" s="136"/>
      <c r="E44" s="136"/>
      <c r="F44" s="136"/>
    </row>
    <row r="45" spans="1:24">
      <c r="A45" s="146" t="s">
        <v>2377</v>
      </c>
      <c r="B45" s="136"/>
      <c r="C45" s="136"/>
      <c r="D45" s="136"/>
      <c r="E45" s="136"/>
      <c r="F45" s="136"/>
    </row>
    <row r="46" spans="1:24">
      <c r="B46" s="136"/>
      <c r="C46" s="136"/>
      <c r="D46" s="136"/>
      <c r="E46" s="136"/>
      <c r="F46" s="136"/>
    </row>
    <row r="47" spans="1:24">
      <c r="A47" s="2343" t="s">
        <v>1233</v>
      </c>
      <c r="B47" s="2344" t="s">
        <v>1234</v>
      </c>
      <c r="C47" s="2344"/>
      <c r="D47" s="2344"/>
      <c r="E47" s="2344"/>
      <c r="F47" s="2344"/>
    </row>
    <row r="48" spans="1:24">
      <c r="A48" s="2343"/>
      <c r="B48" s="943" t="s">
        <v>1235</v>
      </c>
      <c r="C48" s="943" t="s">
        <v>1236</v>
      </c>
      <c r="D48" s="943" t="s">
        <v>1237</v>
      </c>
      <c r="E48" s="943" t="s">
        <v>1238</v>
      </c>
      <c r="F48" s="943" t="s">
        <v>911</v>
      </c>
    </row>
    <row r="49" spans="1:13">
      <c r="A49" s="1031" t="s">
        <v>1239</v>
      </c>
      <c r="B49" s="632"/>
      <c r="C49" s="632"/>
      <c r="D49" s="632"/>
      <c r="E49" s="632"/>
      <c r="F49" s="632"/>
    </row>
    <row r="50" spans="1:13">
      <c r="A50" s="1031"/>
      <c r="B50" s="632"/>
      <c r="C50" s="632"/>
      <c r="D50" s="632"/>
      <c r="E50" s="632"/>
      <c r="F50" s="632"/>
    </row>
    <row r="51" spans="1:13">
      <c r="A51" s="152" t="s">
        <v>3148</v>
      </c>
      <c r="B51" s="1601">
        <f>40380749-B53</f>
        <v>39242251.689999998</v>
      </c>
      <c r="C51" s="1601">
        <v>0</v>
      </c>
      <c r="D51" s="1601">
        <v>0</v>
      </c>
      <c r="E51" s="1601">
        <v>0</v>
      </c>
      <c r="F51" s="1033">
        <f>+SUM(B51:E51)</f>
        <v>39242251.689999998</v>
      </c>
    </row>
    <row r="52" spans="1:13">
      <c r="A52" s="1081"/>
      <c r="B52" s="1033"/>
      <c r="C52" s="1033"/>
      <c r="D52" s="1033"/>
      <c r="E52" s="1033"/>
      <c r="F52" s="1033"/>
    </row>
    <row r="53" spans="1:13">
      <c r="A53" s="152" t="s">
        <v>1240</v>
      </c>
      <c r="B53" s="1033">
        <v>1138497.31</v>
      </c>
      <c r="C53" s="1033">
        <v>0</v>
      </c>
      <c r="D53" s="1033">
        <v>0</v>
      </c>
      <c r="E53" s="1033">
        <v>0</v>
      </c>
      <c r="F53" s="1033">
        <f>+SUM(B53:E53)</f>
        <v>1138497.31</v>
      </c>
    </row>
    <row r="54" spans="1:13">
      <c r="A54" s="152"/>
      <c r="B54" s="1033"/>
      <c r="C54" s="1033"/>
      <c r="D54" s="1033"/>
      <c r="E54" s="1033"/>
      <c r="F54" s="1033"/>
    </row>
    <row r="55" spans="1:13">
      <c r="A55" s="152" t="s">
        <v>911</v>
      </c>
      <c r="B55" s="1033">
        <f>+SUM(B50:B54)</f>
        <v>40380749</v>
      </c>
      <c r="C55" s="1033">
        <f>+SUM(C50:C54)</f>
        <v>0</v>
      </c>
      <c r="D55" s="1033">
        <f>+SUM(D50:D54)</f>
        <v>0</v>
      </c>
      <c r="E55" s="1033">
        <f>+SUM(E50:E54)</f>
        <v>0</v>
      </c>
      <c r="F55" s="1033">
        <f>+SUM(F50:F54)</f>
        <v>40380749</v>
      </c>
    </row>
    <row r="57" spans="1:13">
      <c r="J57" s="630">
        <f>+J70-BSPL!G8</f>
        <v>14519268.334518701</v>
      </c>
    </row>
    <row r="58" spans="1:13" ht="15" thickBot="1"/>
    <row r="59" spans="1:13" ht="16.2" thickBot="1">
      <c r="A59" s="1034"/>
      <c r="B59" s="2345" t="s">
        <v>1258</v>
      </c>
      <c r="C59" s="2345"/>
      <c r="D59" s="2345"/>
      <c r="E59" s="2345"/>
      <c r="F59" s="2345"/>
      <c r="G59" s="2345"/>
      <c r="H59" s="2345"/>
      <c r="I59" s="2345"/>
      <c r="J59" s="2345"/>
      <c r="K59" s="2346"/>
    </row>
    <row r="60" spans="1:13" ht="15.6">
      <c r="A60" s="2347"/>
      <c r="B60" s="2349" t="s">
        <v>1242</v>
      </c>
      <c r="C60" s="2350"/>
      <c r="D60" s="2350"/>
      <c r="E60" s="2351"/>
      <c r="F60" s="2352" t="s">
        <v>144</v>
      </c>
      <c r="G60" s="2353"/>
      <c r="H60" s="2354"/>
      <c r="I60" s="2353"/>
      <c r="J60" s="1035">
        <v>44652</v>
      </c>
      <c r="K60" s="1036">
        <v>45016</v>
      </c>
    </row>
    <row r="61" spans="1:13" ht="47.4" thickBot="1">
      <c r="A61" s="2348"/>
      <c r="B61" s="1037">
        <v>44652</v>
      </c>
      <c r="C61" s="1038" t="s">
        <v>1259</v>
      </c>
      <c r="D61" s="1039" t="s">
        <v>1260</v>
      </c>
      <c r="E61" s="1037">
        <v>45016</v>
      </c>
      <c r="F61" s="1040" t="s">
        <v>1261</v>
      </c>
      <c r="G61" s="1039" t="s">
        <v>1246</v>
      </c>
      <c r="H61" s="1041" t="s">
        <v>1247</v>
      </c>
      <c r="I61" s="1040" t="s">
        <v>1248</v>
      </c>
      <c r="J61" s="1042" t="s">
        <v>1249</v>
      </c>
      <c r="K61" s="1043" t="s">
        <v>1249</v>
      </c>
    </row>
    <row r="62" spans="1:13">
      <c r="A62" s="1044" t="s">
        <v>1250</v>
      </c>
      <c r="B62" s="153">
        <f>+E86</f>
        <v>33964999.899999999</v>
      </c>
      <c r="C62" s="154">
        <f>+'[80]Summary 2022-23'!C4</f>
        <v>0</v>
      </c>
      <c r="D62" s="154">
        <v>0</v>
      </c>
      <c r="E62" s="154">
        <f>+B62+C62-D62</f>
        <v>33964999.899999999</v>
      </c>
      <c r="F62" s="154">
        <f>+I86</f>
        <v>0</v>
      </c>
      <c r="G62" s="154">
        <f>+'[80]Summary 2022-23'!G4</f>
        <v>0</v>
      </c>
      <c r="H62" s="154">
        <v>0</v>
      </c>
      <c r="I62" s="154">
        <f>+F62+G62-H62</f>
        <v>0</v>
      </c>
      <c r="J62" s="154">
        <f>+B62-F62</f>
        <v>33964999.899999999</v>
      </c>
      <c r="K62" s="155">
        <f>+E62-I62</f>
        <v>33964999.899999999</v>
      </c>
      <c r="M62">
        <f>899004-236000</f>
        <v>663004</v>
      </c>
    </row>
    <row r="63" spans="1:13">
      <c r="A63" s="1045" t="s">
        <v>1221</v>
      </c>
      <c r="B63" s="153">
        <f t="shared" ref="B63:B69" si="8">+E87</f>
        <v>61286378.519999996</v>
      </c>
      <c r="C63" s="154">
        <f>+'[80]Summary 2022-23'!C5</f>
        <v>2830332</v>
      </c>
      <c r="D63" s="154">
        <v>0</v>
      </c>
      <c r="E63" s="154">
        <f t="shared" ref="E63:E69" si="9">+B63+C63-D63</f>
        <v>64116710.519999996</v>
      </c>
      <c r="F63" s="154">
        <f t="shared" ref="F63:F69" si="10">+I87</f>
        <v>7440220.4707179461</v>
      </c>
      <c r="G63" s="154">
        <f>+ROUND('[80]Summary 2022-23'!G5,0)</f>
        <v>1989109</v>
      </c>
      <c r="H63" s="154">
        <v>0</v>
      </c>
      <c r="I63" s="154">
        <f t="shared" ref="I63:I69" si="11">+F63+G63-H63</f>
        <v>9429329.4707179461</v>
      </c>
      <c r="J63" s="154">
        <f t="shared" ref="J63:J69" si="12">+B63-F63</f>
        <v>53846158.049282052</v>
      </c>
      <c r="K63" s="155">
        <f t="shared" ref="K63:K69" si="13">+E63-I63</f>
        <v>54687381.049282052</v>
      </c>
      <c r="M63">
        <v>45750</v>
      </c>
    </row>
    <row r="64" spans="1:13">
      <c r="A64" s="1045" t="s">
        <v>302</v>
      </c>
      <c r="B64" s="153">
        <f t="shared" si="8"/>
        <v>222104413.368</v>
      </c>
      <c r="C64" s="154">
        <f>+'[80]Summary 2022-23'!C6</f>
        <v>63178</v>
      </c>
      <c r="D64" s="154">
        <v>0</v>
      </c>
      <c r="E64" s="154">
        <f t="shared" si="9"/>
        <v>222167591.368</v>
      </c>
      <c r="F64" s="154">
        <f t="shared" si="10"/>
        <v>113124942.46722932</v>
      </c>
      <c r="G64" s="154">
        <f>ROUND(+'[80]Summary 2022-23'!G6,0)</f>
        <v>13650885</v>
      </c>
      <c r="H64" s="154">
        <v>0</v>
      </c>
      <c r="I64" s="154">
        <f t="shared" si="11"/>
        <v>126775827.46722932</v>
      </c>
      <c r="J64" s="154">
        <f t="shared" si="12"/>
        <v>108979470.90077068</v>
      </c>
      <c r="K64" s="155">
        <f t="shared" si="13"/>
        <v>95391763.900770679</v>
      </c>
      <c r="M64">
        <v>7860196</v>
      </c>
    </row>
    <row r="65" spans="1:14">
      <c r="A65" s="1045" t="s">
        <v>1222</v>
      </c>
      <c r="B65" s="153">
        <f t="shared" si="8"/>
        <v>2991111</v>
      </c>
      <c r="C65" s="154">
        <f>+'[80]Summary 2022-23'!C7</f>
        <v>0</v>
      </c>
      <c r="D65" s="154">
        <v>0</v>
      </c>
      <c r="E65" s="154">
        <f t="shared" si="9"/>
        <v>2991111</v>
      </c>
      <c r="F65" s="154">
        <f t="shared" si="10"/>
        <v>927868.80226313532</v>
      </c>
      <c r="G65" s="154">
        <f>+ROUND('[80]Summary 2022-23'!G7,0)</f>
        <v>369149</v>
      </c>
      <c r="H65" s="154">
        <v>0</v>
      </c>
      <c r="I65" s="154">
        <f t="shared" si="11"/>
        <v>1297017.8022631353</v>
      </c>
      <c r="J65" s="154">
        <f t="shared" si="12"/>
        <v>2063242.1977368647</v>
      </c>
      <c r="K65" s="155">
        <f t="shared" si="13"/>
        <v>1694093.1977368647</v>
      </c>
      <c r="M65">
        <v>464592</v>
      </c>
    </row>
    <row r="66" spans="1:14">
      <c r="A66" s="1045" t="s">
        <v>1223</v>
      </c>
      <c r="B66" s="153">
        <f t="shared" si="8"/>
        <v>868635.45771976002</v>
      </c>
      <c r="C66" s="154">
        <f>+'[80]Summary 2022-23'!C8</f>
        <v>29800</v>
      </c>
      <c r="D66" s="154">
        <v>0</v>
      </c>
      <c r="E66" s="154">
        <f t="shared" si="9"/>
        <v>898435.45771976002</v>
      </c>
      <c r="F66" s="154">
        <f t="shared" si="10"/>
        <v>730456.24351598183</v>
      </c>
      <c r="G66" s="154">
        <f>+ROUND('[80]Summary 2022-23'!G8,0)</f>
        <v>45170</v>
      </c>
      <c r="H66" s="154">
        <v>0</v>
      </c>
      <c r="I66" s="154">
        <f t="shared" si="11"/>
        <v>775626.24351598183</v>
      </c>
      <c r="J66" s="154">
        <f t="shared" si="12"/>
        <v>138179.21420377819</v>
      </c>
      <c r="K66" s="155">
        <f t="shared" si="13"/>
        <v>122809.21420377819</v>
      </c>
      <c r="M66">
        <v>8108281.5999999996</v>
      </c>
      <c r="N66">
        <v>-2830332</v>
      </c>
    </row>
    <row r="67" spans="1:14">
      <c r="A67" s="1045" t="s">
        <v>1224</v>
      </c>
      <c r="B67" s="153">
        <f t="shared" si="8"/>
        <v>1123743.1299999999</v>
      </c>
      <c r="C67" s="154">
        <f>+'[80]Summary 2022-23'!C9</f>
        <v>0</v>
      </c>
      <c r="D67" s="154">
        <v>0</v>
      </c>
      <c r="E67" s="154">
        <f t="shared" si="9"/>
        <v>1123743.1299999999</v>
      </c>
      <c r="F67" s="154">
        <f t="shared" si="10"/>
        <v>712522.74323580915</v>
      </c>
      <c r="G67" s="154">
        <f>+ROUND('[80]Summary 2022-23'!G9,0)</f>
        <v>114072</v>
      </c>
      <c r="H67" s="154">
        <v>0</v>
      </c>
      <c r="I67" s="154">
        <f t="shared" si="11"/>
        <v>826594.74323580915</v>
      </c>
      <c r="J67" s="154">
        <f t="shared" si="12"/>
        <v>411220.38676419074</v>
      </c>
      <c r="K67" s="155">
        <f t="shared" si="13"/>
        <v>297148.38676419074</v>
      </c>
      <c r="M67">
        <v>22526626.920000002</v>
      </c>
    </row>
    <row r="68" spans="1:14">
      <c r="A68" s="1045" t="s">
        <v>1225</v>
      </c>
      <c r="B68" s="153">
        <f t="shared" si="8"/>
        <v>1344197.03</v>
      </c>
      <c r="C68" s="154">
        <f>+'[80]Summary 2022-23'!C10</f>
        <v>540632</v>
      </c>
      <c r="D68" s="154">
        <v>0</v>
      </c>
      <c r="E68" s="154">
        <f t="shared" si="9"/>
        <v>1884829.03</v>
      </c>
      <c r="F68" s="154">
        <f t="shared" si="10"/>
        <v>1062733.5912144694</v>
      </c>
      <c r="G68" s="154">
        <f>+ROUND('[80]Summary 2022-23'!G10,0)</f>
        <v>56194</v>
      </c>
      <c r="H68" s="154">
        <v>0</v>
      </c>
      <c r="I68" s="154">
        <f t="shared" si="11"/>
        <v>1118927.5912144694</v>
      </c>
      <c r="J68" s="154">
        <f t="shared" si="12"/>
        <v>281463.43878553063</v>
      </c>
      <c r="K68" s="155">
        <f t="shared" si="13"/>
        <v>765901.43878553063</v>
      </c>
      <c r="M68">
        <v>300000</v>
      </c>
    </row>
    <row r="69" spans="1:14" ht="15" thickBot="1">
      <c r="A69" s="1046" t="s">
        <v>1226</v>
      </c>
      <c r="B69" s="153">
        <f t="shared" si="8"/>
        <v>26458588.080000002</v>
      </c>
      <c r="C69" s="154">
        <f>+'[80]Summary 2022-23'!C11</f>
        <v>98460</v>
      </c>
      <c r="D69" s="154">
        <v>0</v>
      </c>
      <c r="E69" s="154">
        <f t="shared" si="9"/>
        <v>26557048.080000002</v>
      </c>
      <c r="F69" s="154">
        <f t="shared" si="10"/>
        <v>18195793.502604451</v>
      </c>
      <c r="G69" s="154">
        <f>+ROUND('[80]Summary 2022-23'!G11,0)</f>
        <v>1857088</v>
      </c>
      <c r="H69" s="154">
        <v>0</v>
      </c>
      <c r="I69" s="154">
        <f t="shared" si="11"/>
        <v>20052881.502604451</v>
      </c>
      <c r="J69" s="154">
        <f t="shared" si="12"/>
        <v>8262794.5773955509</v>
      </c>
      <c r="K69" s="155">
        <f t="shared" si="13"/>
        <v>6504166.5773955509</v>
      </c>
      <c r="M69">
        <f>68406176.87-117100</f>
        <v>68289076.870000005</v>
      </c>
    </row>
    <row r="70" spans="1:14" ht="16.2" thickBot="1">
      <c r="A70" s="1047" t="s">
        <v>1251</v>
      </c>
      <c r="B70" s="1048">
        <f>SUM(B62:B69)</f>
        <v>350142066.48571968</v>
      </c>
      <c r="C70" s="1048">
        <f>SUM(C62:C69)</f>
        <v>3562402</v>
      </c>
      <c r="D70" s="1048">
        <v>0</v>
      </c>
      <c r="E70" s="1048">
        <f>SUM(E62:E69)</f>
        <v>353704468.48571968</v>
      </c>
      <c r="F70" s="1048">
        <f>SUM(F62:F69)</f>
        <v>142194537.82078111</v>
      </c>
      <c r="G70" s="1048">
        <f>SUM(G62:G69)</f>
        <v>18081667</v>
      </c>
      <c r="H70" s="1048">
        <v>0</v>
      </c>
      <c r="I70" s="1048">
        <f>SUM(I62:I69)</f>
        <v>160276204.82078111</v>
      </c>
      <c r="J70" s="1048">
        <f>SUM(J62:J69)</f>
        <v>207947528.66493863</v>
      </c>
      <c r="K70" s="1048">
        <f>SUM(K62:K69)</f>
        <v>193428263.66493863</v>
      </c>
      <c r="M70">
        <f>7700000-7060713</f>
        <v>639287</v>
      </c>
    </row>
    <row r="71" spans="1:14" ht="15" thickBot="1">
      <c r="A71" s="1049"/>
      <c r="B71" s="160"/>
      <c r="K71" s="1050"/>
      <c r="M71">
        <f>+SUM(M62:M70)</f>
        <v>108896814.39000002</v>
      </c>
    </row>
    <row r="72" spans="1:14" ht="15" thickBot="1">
      <c r="A72" s="1051" t="s">
        <v>461</v>
      </c>
      <c r="B72" s="1052"/>
      <c r="C72" s="1052"/>
      <c r="D72" s="1052"/>
      <c r="E72" s="1052"/>
      <c r="F72" s="1052"/>
      <c r="G72" s="1052"/>
      <c r="H72" s="1052"/>
      <c r="I72" s="1052"/>
      <c r="J72" s="1052"/>
      <c r="K72" s="1053"/>
      <c r="M72">
        <f>+M71-M66</f>
        <v>100788532.79000002</v>
      </c>
    </row>
    <row r="73" spans="1:14">
      <c r="A73" s="1054" t="s">
        <v>1252</v>
      </c>
      <c r="B73" s="1055">
        <f>+E97</f>
        <v>1138496.9099999997</v>
      </c>
      <c r="C73" s="1145">
        <f>8108281.6</f>
        <v>8108281.5999999996</v>
      </c>
      <c r="D73" s="1146">
        <f>+C63</f>
        <v>2830332</v>
      </c>
      <c r="E73" s="1145">
        <f>B73+C73-D73</f>
        <v>6416446.5099999998</v>
      </c>
      <c r="F73" s="154">
        <v>0</v>
      </c>
      <c r="G73" s="154">
        <v>0</v>
      </c>
      <c r="H73" s="154">
        <v>0</v>
      </c>
      <c r="I73" s="154">
        <v>0</v>
      </c>
      <c r="J73" s="1056">
        <f>+B73</f>
        <v>1138496.9099999997</v>
      </c>
      <c r="K73" s="1056">
        <f>E73</f>
        <v>6416446.5099999998</v>
      </c>
    </row>
    <row r="74" spans="1:14" ht="15" thickBot="1">
      <c r="A74" s="1057" t="s">
        <v>1253</v>
      </c>
      <c r="B74" s="1055">
        <f>+E98</f>
        <v>39242252.449999996</v>
      </c>
      <c r="C74" s="1145">
        <f>+M72</f>
        <v>100788532.79000002</v>
      </c>
      <c r="D74" s="1146">
        <v>0</v>
      </c>
      <c r="E74" s="1145">
        <f>B74+C74-D74</f>
        <v>140030785.24000001</v>
      </c>
      <c r="F74" s="154">
        <v>0</v>
      </c>
      <c r="G74" s="154">
        <v>0</v>
      </c>
      <c r="H74" s="154">
        <v>0</v>
      </c>
      <c r="I74" s="154">
        <v>0</v>
      </c>
      <c r="J74" s="1058">
        <f>B74</f>
        <v>39242252.449999996</v>
      </c>
      <c r="K74" s="1056">
        <f>E74</f>
        <v>140030785.24000001</v>
      </c>
    </row>
    <row r="75" spans="1:14" ht="16.2" thickBot="1">
      <c r="A75" s="1059" t="s">
        <v>1251</v>
      </c>
      <c r="B75" s="1060">
        <f>SUM(B73:B74)</f>
        <v>40380749.359999992</v>
      </c>
      <c r="C75" s="1048">
        <f t="shared" ref="C75:D75" si="14">SUM(C73:C74)</f>
        <v>108896814.39000002</v>
      </c>
      <c r="D75" s="1048">
        <f t="shared" si="14"/>
        <v>2830332</v>
      </c>
      <c r="E75" s="1048">
        <f>SUM(E73:E74)</f>
        <v>146447231.75</v>
      </c>
      <c r="F75" s="1048">
        <f t="shared" ref="F75:K75" si="15">SUM(F73:F74)</f>
        <v>0</v>
      </c>
      <c r="G75" s="1048">
        <f t="shared" si="15"/>
        <v>0</v>
      </c>
      <c r="H75" s="1048">
        <f t="shared" si="15"/>
        <v>0</v>
      </c>
      <c r="I75" s="1048">
        <f t="shared" si="15"/>
        <v>0</v>
      </c>
      <c r="J75" s="1048">
        <f t="shared" si="15"/>
        <v>40380749.359999992</v>
      </c>
      <c r="K75" s="1061">
        <f t="shared" si="15"/>
        <v>146447231.75</v>
      </c>
    </row>
    <row r="76" spans="1:14" ht="15" thickBot="1">
      <c r="A76" s="1062"/>
      <c r="K76" s="1050"/>
    </row>
    <row r="77" spans="1:14" ht="16.2" thickBot="1">
      <c r="A77" s="1059" t="s">
        <v>911</v>
      </c>
      <c r="B77" s="1060">
        <f>B70+B75</f>
        <v>390522815.8457197</v>
      </c>
      <c r="C77" s="1048">
        <f t="shared" ref="C77:D77" si="16">C70+C75</f>
        <v>112459216.39000002</v>
      </c>
      <c r="D77" s="1048">
        <f t="shared" si="16"/>
        <v>2830332</v>
      </c>
      <c r="E77" s="1048">
        <f>E70+E75</f>
        <v>500151700.23571968</v>
      </c>
      <c r="F77" s="1048">
        <f t="shared" ref="F77:K77" si="17">F70+F75</f>
        <v>142194537.82078111</v>
      </c>
      <c r="G77" s="1048">
        <f t="shared" si="17"/>
        <v>18081667</v>
      </c>
      <c r="H77" s="1048">
        <f t="shared" si="17"/>
        <v>0</v>
      </c>
      <c r="I77" s="1048">
        <f t="shared" si="17"/>
        <v>160276204.82078111</v>
      </c>
      <c r="J77" s="1048">
        <f t="shared" si="17"/>
        <v>248328278.02493861</v>
      </c>
      <c r="K77" s="1061">
        <f t="shared" si="17"/>
        <v>339875495.41493863</v>
      </c>
    </row>
    <row r="82" spans="1:11" ht="15" thickBot="1"/>
    <row r="83" spans="1:11" ht="16.2" thickBot="1">
      <c r="A83" s="1034"/>
      <c r="B83" s="2345" t="s">
        <v>1241</v>
      </c>
      <c r="C83" s="2345"/>
      <c r="D83" s="2345"/>
      <c r="E83" s="2345"/>
      <c r="F83" s="2345"/>
      <c r="G83" s="2345"/>
      <c r="H83" s="2345"/>
      <c r="I83" s="2345"/>
      <c r="J83" s="2345"/>
      <c r="K83" s="2346"/>
    </row>
    <row r="84" spans="1:11" ht="15.6">
      <c r="A84" s="2347"/>
      <c r="B84" s="2349" t="s">
        <v>1242</v>
      </c>
      <c r="C84" s="2350"/>
      <c r="D84" s="2350"/>
      <c r="E84" s="2351"/>
      <c r="F84" s="2352" t="s">
        <v>144</v>
      </c>
      <c r="G84" s="2353"/>
      <c r="H84" s="2354"/>
      <c r="I84" s="2353"/>
      <c r="J84" s="1035">
        <v>44287</v>
      </c>
      <c r="K84" s="1036">
        <v>44651</v>
      </c>
    </row>
    <row r="85" spans="1:11" ht="47.4" thickBot="1">
      <c r="A85" s="2348"/>
      <c r="B85" s="1037">
        <v>44287</v>
      </c>
      <c r="C85" s="1038" t="s">
        <v>1243</v>
      </c>
      <c r="D85" s="1039" t="s">
        <v>1244</v>
      </c>
      <c r="E85" s="1037">
        <v>44651</v>
      </c>
      <c r="F85" s="1040" t="s">
        <v>1245</v>
      </c>
      <c r="G85" s="1039" t="s">
        <v>1246</v>
      </c>
      <c r="H85" s="1041" t="s">
        <v>1247</v>
      </c>
      <c r="I85" s="1040" t="s">
        <v>1248</v>
      </c>
      <c r="J85" s="1042" t="s">
        <v>1249</v>
      </c>
      <c r="K85" s="1043" t="s">
        <v>1249</v>
      </c>
    </row>
    <row r="86" spans="1:11">
      <c r="A86" s="1044" t="s">
        <v>1250</v>
      </c>
      <c r="B86" s="153">
        <f>+'[81]Summary-20-21'!E4</f>
        <v>33964999.899999999</v>
      </c>
      <c r="C86" s="154">
        <f>+'[81]Summary 2021-22'!C4</f>
        <v>0</v>
      </c>
      <c r="D86" s="154">
        <f>+'[81]Summary 2021-22'!D4</f>
        <v>0</v>
      </c>
      <c r="E86" s="154">
        <f>B86+C86-D86</f>
        <v>33964999.899999999</v>
      </c>
      <c r="F86" s="154">
        <f>+'[81]Summary-20-21'!I4</f>
        <v>0</v>
      </c>
      <c r="G86" s="154">
        <f>+'[81]Summary 2021-22'!G4</f>
        <v>0</v>
      </c>
      <c r="H86" s="154">
        <v>0</v>
      </c>
      <c r="I86" s="154">
        <v>0</v>
      </c>
      <c r="J86" s="154">
        <f>B86-F86</f>
        <v>33964999.899999999</v>
      </c>
      <c r="K86" s="155">
        <f t="shared" ref="K86:K93" si="18">E86-I86</f>
        <v>33964999.899999999</v>
      </c>
    </row>
    <row r="87" spans="1:11">
      <c r="A87" s="1045" t="s">
        <v>1221</v>
      </c>
      <c r="B87" s="153">
        <f>+'[81]Summary-20-21'!E5</f>
        <v>58923230.529999994</v>
      </c>
      <c r="C87" s="154">
        <f>+'[81]Summary 2021-22'!C5</f>
        <v>2363147.9900000002</v>
      </c>
      <c r="D87" s="154">
        <f>+'[81]Summary 2021-22'!D5</f>
        <v>0</v>
      </c>
      <c r="E87" s="156">
        <f>B87+C87-D87</f>
        <v>61286378.519999996</v>
      </c>
      <c r="F87" s="154">
        <f>+'[81]Summary-20-21'!I5</f>
        <v>5534893.9886987675</v>
      </c>
      <c r="G87" s="154">
        <f>+'[81]Summary 2021-22'!G5</f>
        <v>1905326.4820191783</v>
      </c>
      <c r="H87" s="154">
        <f>+'[81]Summary 2021-22'!H5</f>
        <v>0</v>
      </c>
      <c r="I87" s="156">
        <f t="shared" ref="I87:I93" si="19">F87+G87-H87</f>
        <v>7440220.4707179461</v>
      </c>
      <c r="J87" s="156">
        <f t="shared" ref="J87:J93" si="20">B87-F87</f>
        <v>53388336.541301228</v>
      </c>
      <c r="K87" s="157">
        <f t="shared" si="18"/>
        <v>53846158.049282052</v>
      </c>
    </row>
    <row r="88" spans="1:11">
      <c r="A88" s="1045" t="s">
        <v>302</v>
      </c>
      <c r="B88" s="153">
        <f>+'[81]Summary-20-21'!E6</f>
        <v>215300342.50799999</v>
      </c>
      <c r="C88" s="154">
        <f>+'[81]Summary 2021-22'!C6-1</f>
        <v>6804070.8600000003</v>
      </c>
      <c r="D88" s="154">
        <f>+'[81]Summary 2021-22'!D6</f>
        <v>0</v>
      </c>
      <c r="E88" s="156">
        <f>B88+C88-D88</f>
        <v>222104413.368</v>
      </c>
      <c r="F88" s="154">
        <f>+'[81]Summary-20-21'!I6</f>
        <v>99496168.438061088</v>
      </c>
      <c r="G88" s="154">
        <f>+'[81]Summary 2021-22'!G6</f>
        <v>13628774.029168235</v>
      </c>
      <c r="H88" s="154">
        <f>+'[81]Summary 2021-22'!H6</f>
        <v>0</v>
      </c>
      <c r="I88" s="156">
        <f>F88+G88-H88</f>
        <v>113124942.46722932</v>
      </c>
      <c r="J88" s="156">
        <f t="shared" si="20"/>
        <v>115804174.0699389</v>
      </c>
      <c r="K88" s="157">
        <f t="shared" si="18"/>
        <v>108979470.90077068</v>
      </c>
    </row>
    <row r="89" spans="1:11">
      <c r="A89" s="1045" t="s">
        <v>1222</v>
      </c>
      <c r="B89" s="153">
        <f>+'[81]Summary-20-21'!E7</f>
        <v>2991111</v>
      </c>
      <c r="C89" s="154">
        <f>+'[81]Summary 2021-22'!C7</f>
        <v>0</v>
      </c>
      <c r="D89" s="154">
        <f>+'[81]Summary 2021-22'!D7</f>
        <v>0</v>
      </c>
      <c r="E89" s="156">
        <f t="shared" ref="E89:E92" si="21">B89+C89-D89</f>
        <v>2991111</v>
      </c>
      <c r="F89" s="154">
        <f>+'[81]Summary-20-21'!I7</f>
        <v>558719.83806600736</v>
      </c>
      <c r="G89" s="154">
        <f>+'[81]Summary 2021-22'!G7</f>
        <v>369148.96419712796</v>
      </c>
      <c r="H89" s="154">
        <f>+'[81]Summary 2021-22'!H7</f>
        <v>0</v>
      </c>
      <c r="I89" s="156">
        <f t="shared" si="19"/>
        <v>927868.80226313532</v>
      </c>
      <c r="J89" s="156">
        <f t="shared" si="20"/>
        <v>2432391.1619339925</v>
      </c>
      <c r="K89" s="157">
        <f t="shared" si="18"/>
        <v>2063242.1977368647</v>
      </c>
    </row>
    <row r="90" spans="1:11">
      <c r="A90" s="1045" t="s">
        <v>1223</v>
      </c>
      <c r="B90" s="153">
        <f>+'[81]Summary-20-21'!E8</f>
        <v>744525.7</v>
      </c>
      <c r="C90" s="154">
        <f>+'[81]Summary 2021-22'!C8-0.24228024</f>
        <v>124109.75771976</v>
      </c>
      <c r="D90" s="154">
        <f>+'[81]Summary 2021-22'!D8</f>
        <v>0</v>
      </c>
      <c r="E90" s="156">
        <f t="shared" si="21"/>
        <v>868635.45771976002</v>
      </c>
      <c r="F90" s="154">
        <f>+'[81]Summary-20-21'!I8</f>
        <v>688913.61548858462</v>
      </c>
      <c r="G90" s="154">
        <f>+'[81]Summary 2021-22'!G8</f>
        <v>41542.628027397266</v>
      </c>
      <c r="H90" s="154">
        <f>+'[81]Summary 2021-22'!H8</f>
        <v>0</v>
      </c>
      <c r="I90" s="156">
        <f t="shared" si="19"/>
        <v>730456.24351598183</v>
      </c>
      <c r="J90" s="156">
        <f t="shared" si="20"/>
        <v>55612.084511415334</v>
      </c>
      <c r="K90" s="157">
        <f t="shared" si="18"/>
        <v>138179.21420377819</v>
      </c>
    </row>
    <row r="91" spans="1:11">
      <c r="A91" s="1045" t="s">
        <v>1224</v>
      </c>
      <c r="B91" s="153">
        <f>+'[81]Summary-20-21'!E9</f>
        <v>1024059.5</v>
      </c>
      <c r="C91" s="154">
        <f>+'[81]Summary 2021-22'!C9</f>
        <v>99683.63</v>
      </c>
      <c r="D91" s="154">
        <f>+'[81]Summary 2021-22'!D9</f>
        <v>0</v>
      </c>
      <c r="E91" s="156">
        <f>B91+C91-D91</f>
        <v>1123743.1299999999</v>
      </c>
      <c r="F91" s="154">
        <f>+'[81]Summary-20-21'!I9</f>
        <v>598525.87082759</v>
      </c>
      <c r="G91" s="154">
        <f>+'[81]Summary 2021-22'!G9</f>
        <v>113996.87240821918</v>
      </c>
      <c r="H91" s="154">
        <f>+'[81]Summary 2021-22'!H9</f>
        <v>0</v>
      </c>
      <c r="I91" s="156">
        <f t="shared" si="19"/>
        <v>712522.74323580915</v>
      </c>
      <c r="J91" s="156">
        <f t="shared" si="20"/>
        <v>425533.62917241</v>
      </c>
      <c r="K91" s="157">
        <f t="shared" si="18"/>
        <v>411220.38676419074</v>
      </c>
    </row>
    <row r="92" spans="1:11">
      <c r="A92" s="1045" t="s">
        <v>1225</v>
      </c>
      <c r="B92" s="153">
        <f>+'[81]Summary-20-21'!E10</f>
        <v>1330214.03</v>
      </c>
      <c r="C92" s="154">
        <f>+'[81]Summary 2021-22'!C10</f>
        <v>13983</v>
      </c>
      <c r="D92" s="154">
        <f>+'[81]Summary 2021-22'!D10</f>
        <v>0</v>
      </c>
      <c r="E92" s="156">
        <f t="shared" si="21"/>
        <v>1344197.03</v>
      </c>
      <c r="F92" s="154">
        <f>+'[81]Summary-20-21'!I10</f>
        <v>1014017.3961523059</v>
      </c>
      <c r="G92" s="154">
        <f>+'[81]Summary 2021-22'!G10</f>
        <v>48716.19506216341</v>
      </c>
      <c r="H92" s="154">
        <f>+'[81]Summary 2021-22'!H10</f>
        <v>0</v>
      </c>
      <c r="I92" s="156">
        <f t="shared" si="19"/>
        <v>1062733.5912144694</v>
      </c>
      <c r="J92" s="156">
        <f t="shared" si="20"/>
        <v>316196.63384769415</v>
      </c>
      <c r="K92" s="157">
        <f t="shared" si="18"/>
        <v>281463.43878553063</v>
      </c>
    </row>
    <row r="93" spans="1:11" ht="15" thickBot="1">
      <c r="A93" s="1046" t="s">
        <v>1226</v>
      </c>
      <c r="B93" s="153">
        <f>+'[81]Summary-20-21'!E11</f>
        <v>26188108.080000002</v>
      </c>
      <c r="C93" s="154">
        <f>+'[81]Summary 2021-22'!C11</f>
        <v>270480</v>
      </c>
      <c r="D93" s="154">
        <f>+'[81]Summary 2021-22'!D11</f>
        <v>0</v>
      </c>
      <c r="E93" s="158">
        <f>B93+C93-D93</f>
        <v>26458588.080000002</v>
      </c>
      <c r="F93" s="154">
        <f>+'[81]Summary-20-21'!I11</f>
        <v>16345550.182161208</v>
      </c>
      <c r="G93" s="154">
        <f>+'[81]Summary 2021-22'!G11</f>
        <v>1850243.3204432426</v>
      </c>
      <c r="H93" s="154">
        <f>+'[81]Summary 2021-22'!H11</f>
        <v>0</v>
      </c>
      <c r="I93" s="158">
        <f t="shared" si="19"/>
        <v>18195793.502604451</v>
      </c>
      <c r="J93" s="158">
        <f t="shared" si="20"/>
        <v>9842557.8978387937</v>
      </c>
      <c r="K93" s="159">
        <f t="shared" si="18"/>
        <v>8262794.5773955509</v>
      </c>
    </row>
    <row r="94" spans="1:11" ht="16.2" thickBot="1">
      <c r="A94" s="1047" t="s">
        <v>1251</v>
      </c>
      <c r="B94" s="1048">
        <f>SUM(B86:B93)</f>
        <v>340466591.24799991</v>
      </c>
      <c r="C94" s="1048">
        <f t="shared" ref="C94:J94" si="22">SUM(C86:C93)</f>
        <v>9675475.2377197631</v>
      </c>
      <c r="D94" s="1048">
        <f t="shared" si="22"/>
        <v>0</v>
      </c>
      <c r="E94" s="1048">
        <f t="shared" si="22"/>
        <v>350142066.48571968</v>
      </c>
      <c r="F94" s="1048">
        <f t="shared" si="22"/>
        <v>124236789.32945555</v>
      </c>
      <c r="G94" s="1048">
        <f t="shared" si="22"/>
        <v>17957748.491325565</v>
      </c>
      <c r="H94" s="1048">
        <f t="shared" si="22"/>
        <v>0</v>
      </c>
      <c r="I94" s="1048">
        <f t="shared" si="22"/>
        <v>142194537.82078111</v>
      </c>
      <c r="J94" s="1048">
        <f t="shared" si="22"/>
        <v>216229801.91854444</v>
      </c>
      <c r="K94" s="1061">
        <f>SUM(K86:K93)</f>
        <v>207947528.66493863</v>
      </c>
    </row>
    <row r="95" spans="1:11" ht="15" thickBot="1">
      <c r="A95" s="1049"/>
      <c r="B95" s="160"/>
      <c r="K95" s="1050"/>
    </row>
    <row r="96" spans="1:11" ht="15" thickBot="1">
      <c r="A96" s="1051" t="s">
        <v>461</v>
      </c>
      <c r="B96" s="1052"/>
      <c r="C96" s="1052"/>
      <c r="D96" s="1052"/>
      <c r="E96" s="1052"/>
      <c r="F96" s="1052"/>
      <c r="G96" s="1052"/>
      <c r="H96" s="1052"/>
      <c r="I96" s="1052"/>
      <c r="J96" s="1052"/>
      <c r="K96" s="1053"/>
    </row>
    <row r="97" spans="1:11">
      <c r="A97" s="1054" t="s">
        <v>1252</v>
      </c>
      <c r="B97" s="1055">
        <f>+'[81]Summary-20-21'!E15</f>
        <v>133007.59999999963</v>
      </c>
      <c r="C97" s="161">
        <f>+'[81]Summary 2021-22'!C15</f>
        <v>1825887.73</v>
      </c>
      <c r="D97" s="154">
        <f>+'[81]Summary 2021-22'!D15</f>
        <v>820398.42</v>
      </c>
      <c r="E97" s="161">
        <f>B97+C97-D97</f>
        <v>1138496.9099999997</v>
      </c>
      <c r="F97" s="154">
        <v>0</v>
      </c>
      <c r="G97" s="154">
        <v>0</v>
      </c>
      <c r="H97" s="154">
        <v>0</v>
      </c>
      <c r="I97" s="154">
        <v>0</v>
      </c>
      <c r="J97" s="1056">
        <f>+B97</f>
        <v>133007.59999999963</v>
      </c>
      <c r="K97" s="1056">
        <f>E97</f>
        <v>1138496.9099999997</v>
      </c>
    </row>
    <row r="98" spans="1:11" ht="15" thickBot="1">
      <c r="A98" s="1057" t="s">
        <v>1253</v>
      </c>
      <c r="B98" s="1055">
        <f>+'[81]Summary-20-21'!E16</f>
        <v>179999.53999999957</v>
      </c>
      <c r="C98" s="161">
        <v>42196733.909999996</v>
      </c>
      <c r="D98" s="154">
        <f>+'[81]Summary 2021-22'!D16</f>
        <v>3134481</v>
      </c>
      <c r="E98" s="161">
        <f>B98+C98-D98</f>
        <v>39242252.449999996</v>
      </c>
      <c r="F98" s="154">
        <v>0</v>
      </c>
      <c r="G98" s="154">
        <v>0</v>
      </c>
      <c r="H98" s="154">
        <v>0</v>
      </c>
      <c r="I98" s="154">
        <v>0</v>
      </c>
      <c r="J98" s="1058">
        <f>B98</f>
        <v>179999.53999999957</v>
      </c>
      <c r="K98" s="1056">
        <f>E98</f>
        <v>39242252.449999996</v>
      </c>
    </row>
    <row r="99" spans="1:11" ht="16.2" thickBot="1">
      <c r="A99" s="1059" t="s">
        <v>1251</v>
      </c>
      <c r="B99" s="1060">
        <f>SUM(B97:B98)</f>
        <v>313007.1399999992</v>
      </c>
      <c r="C99" s="1048">
        <f t="shared" ref="C99:K99" si="23">SUM(C97:C98)</f>
        <v>44022621.639999993</v>
      </c>
      <c r="D99" s="1048">
        <f t="shared" si="23"/>
        <v>3954879.42</v>
      </c>
      <c r="E99" s="1048">
        <f>SUM(E97:E98)</f>
        <v>40380749.359999992</v>
      </c>
      <c r="F99" s="1048">
        <f t="shared" si="23"/>
        <v>0</v>
      </c>
      <c r="G99" s="1048">
        <f t="shared" si="23"/>
        <v>0</v>
      </c>
      <c r="H99" s="1048">
        <f t="shared" si="23"/>
        <v>0</v>
      </c>
      <c r="I99" s="1048">
        <f t="shared" si="23"/>
        <v>0</v>
      </c>
      <c r="J99" s="1048">
        <f t="shared" si="23"/>
        <v>313007.1399999992</v>
      </c>
      <c r="K99" s="1061">
        <f t="shared" si="23"/>
        <v>40380749.359999992</v>
      </c>
    </row>
    <row r="100" spans="1:11" ht="15" thickBot="1">
      <c r="A100" s="1062"/>
      <c r="K100" s="1050"/>
    </row>
    <row r="101" spans="1:11" ht="16.2" thickBot="1">
      <c r="A101" s="1059" t="s">
        <v>911</v>
      </c>
      <c r="B101" s="1060">
        <f>B94+B99</f>
        <v>340779598.38799989</v>
      </c>
      <c r="C101" s="1048">
        <f t="shared" ref="C101:K101" si="24">C94+C99</f>
        <v>53698096.87771976</v>
      </c>
      <c r="D101" s="1048">
        <f t="shared" si="24"/>
        <v>3954879.42</v>
      </c>
      <c r="E101" s="1048">
        <f>E94+E99</f>
        <v>390522815.8457197</v>
      </c>
      <c r="F101" s="1048">
        <f t="shared" si="24"/>
        <v>124236789.32945555</v>
      </c>
      <c r="G101" s="1048">
        <f t="shared" si="24"/>
        <v>17957748.491325565</v>
      </c>
      <c r="H101" s="1048">
        <f t="shared" si="24"/>
        <v>0</v>
      </c>
      <c r="I101" s="1048">
        <f t="shared" si="24"/>
        <v>142194537.82078111</v>
      </c>
      <c r="J101" s="1048">
        <f t="shared" si="24"/>
        <v>216542809.05854443</v>
      </c>
      <c r="K101" s="1061">
        <f t="shared" si="24"/>
        <v>248328278.02493861</v>
      </c>
    </row>
    <row r="103" spans="1:11" ht="15" thickBot="1"/>
    <row r="104" spans="1:11" ht="16.2" thickBot="1">
      <c r="A104" s="1034"/>
      <c r="B104" s="2345" t="s">
        <v>1254</v>
      </c>
      <c r="C104" s="2345"/>
      <c r="D104" s="2345"/>
      <c r="E104" s="2345"/>
      <c r="F104" s="2345"/>
      <c r="G104" s="2345"/>
      <c r="H104" s="2345"/>
      <c r="I104" s="2345"/>
      <c r="J104" s="2345"/>
      <c r="K104" s="2346"/>
    </row>
    <row r="105" spans="1:11" ht="15.6">
      <c r="A105" s="2347"/>
      <c r="B105" s="2349" t="s">
        <v>1242</v>
      </c>
      <c r="C105" s="2350"/>
      <c r="D105" s="2350"/>
      <c r="E105" s="2351"/>
      <c r="F105" s="2352" t="s">
        <v>144</v>
      </c>
      <c r="G105" s="2353"/>
      <c r="H105" s="2354"/>
      <c r="I105" s="2353"/>
      <c r="J105" s="1035">
        <v>43922</v>
      </c>
      <c r="K105" s="1036">
        <v>44286</v>
      </c>
    </row>
    <row r="106" spans="1:11" ht="47.4" thickBot="1">
      <c r="A106" s="2348"/>
      <c r="B106" s="1037">
        <v>43922</v>
      </c>
      <c r="C106" s="1038" t="s">
        <v>1255</v>
      </c>
      <c r="D106" s="1039" t="s">
        <v>1256</v>
      </c>
      <c r="E106" s="1037">
        <v>44286</v>
      </c>
      <c r="F106" s="1040" t="s">
        <v>1257</v>
      </c>
      <c r="G106" s="1039" t="s">
        <v>1246</v>
      </c>
      <c r="H106" s="1041" t="s">
        <v>1247</v>
      </c>
      <c r="I106" s="1040" t="s">
        <v>1248</v>
      </c>
      <c r="J106" s="1042" t="s">
        <v>1249</v>
      </c>
      <c r="K106" s="1043" t="s">
        <v>1249</v>
      </c>
    </row>
    <row r="107" spans="1:11">
      <c r="A107" s="1044" t="s">
        <v>1250</v>
      </c>
      <c r="B107" s="153">
        <v>33964999.899999999</v>
      </c>
      <c r="C107" s="153">
        <v>0</v>
      </c>
      <c r="D107" s="153">
        <v>0</v>
      </c>
      <c r="E107" s="154">
        <f t="shared" ref="E107:E114" si="25">B107+C107-D107</f>
        <v>33964999.899999999</v>
      </c>
      <c r="F107" s="153">
        <v>0</v>
      </c>
      <c r="G107" s="153">
        <v>0</v>
      </c>
      <c r="H107" s="153"/>
      <c r="I107" s="153">
        <v>0</v>
      </c>
      <c r="J107" s="154">
        <v>33964999.899999999</v>
      </c>
      <c r="K107" s="155">
        <v>33964999.899999999</v>
      </c>
    </row>
    <row r="108" spans="1:11">
      <c r="A108" s="1045" t="s">
        <v>1221</v>
      </c>
      <c r="B108" s="153">
        <v>56016203.549999997</v>
      </c>
      <c r="C108" s="153">
        <v>2907026.98</v>
      </c>
      <c r="D108" s="153">
        <v>0</v>
      </c>
      <c r="E108" s="154">
        <f t="shared" si="25"/>
        <v>58923230.529999994</v>
      </c>
      <c r="F108" s="153">
        <v>3700708.5652456624</v>
      </c>
      <c r="G108" s="153">
        <v>1834185.4234531051</v>
      </c>
      <c r="H108" s="153">
        <v>0</v>
      </c>
      <c r="I108" s="156">
        <v>5534893.9886987675</v>
      </c>
      <c r="J108" s="156">
        <v>52315494.984754331</v>
      </c>
      <c r="K108" s="157">
        <v>53388336.541301228</v>
      </c>
    </row>
    <row r="109" spans="1:11">
      <c r="A109" s="1045" t="s">
        <v>302</v>
      </c>
      <c r="B109" s="153">
        <v>217294094.07799998</v>
      </c>
      <c r="C109" s="153">
        <v>5234643.66</v>
      </c>
      <c r="D109" s="153">
        <v>7228395.2299999995</v>
      </c>
      <c r="E109" s="154">
        <f t="shared" si="25"/>
        <v>215300342.50799999</v>
      </c>
      <c r="F109" s="153">
        <v>92431426.995565161</v>
      </c>
      <c r="G109" s="153">
        <v>13466160.816718986</v>
      </c>
      <c r="H109" s="153">
        <v>6401419.3742230469</v>
      </c>
      <c r="I109" s="156">
        <v>99496168.438061088</v>
      </c>
      <c r="J109" s="156">
        <v>124862667.08243482</v>
      </c>
      <c r="K109" s="157">
        <v>115804174.0699389</v>
      </c>
    </row>
    <row r="110" spans="1:11">
      <c r="A110" s="1045" t="s">
        <v>1222</v>
      </c>
      <c r="B110" s="153">
        <v>2991111</v>
      </c>
      <c r="C110" s="153">
        <v>0</v>
      </c>
      <c r="D110" s="153">
        <v>0</v>
      </c>
      <c r="E110" s="154">
        <f t="shared" si="25"/>
        <v>2991111</v>
      </c>
      <c r="F110" s="153">
        <v>189570.87386887943</v>
      </c>
      <c r="G110" s="153">
        <v>369148.96419712796</v>
      </c>
      <c r="H110" s="153">
        <v>0</v>
      </c>
      <c r="I110" s="156">
        <v>558719.83806600736</v>
      </c>
      <c r="J110" s="156">
        <v>2801540.1261311206</v>
      </c>
      <c r="K110" s="157">
        <f>2432391.16193399+0.4</f>
        <v>2432391.5619339901</v>
      </c>
    </row>
    <row r="111" spans="1:11">
      <c r="A111" s="1045" t="s">
        <v>1223</v>
      </c>
      <c r="B111" s="153">
        <v>1057200.7</v>
      </c>
      <c r="C111" s="153">
        <v>0</v>
      </c>
      <c r="D111" s="153">
        <v>312675</v>
      </c>
      <c r="E111" s="154">
        <f t="shared" si="25"/>
        <v>744525.7</v>
      </c>
      <c r="F111" s="153">
        <v>939165.05196347041</v>
      </c>
      <c r="G111" s="153">
        <v>46789.81352511415</v>
      </c>
      <c r="H111" s="153">
        <v>297041</v>
      </c>
      <c r="I111" s="156">
        <v>688913.86548858462</v>
      </c>
      <c r="J111" s="156">
        <v>118035.64803652954</v>
      </c>
      <c r="K111" s="157">
        <f>55611.8345114153+0.8+0.03</f>
        <v>55612.6645114153</v>
      </c>
    </row>
    <row r="112" spans="1:11">
      <c r="A112" s="1045" t="s">
        <v>1224</v>
      </c>
      <c r="B112" s="153">
        <v>884075.03</v>
      </c>
      <c r="C112" s="153">
        <v>415195.47</v>
      </c>
      <c r="D112" s="153">
        <v>275211</v>
      </c>
      <c r="E112" s="154">
        <f t="shared" si="25"/>
        <v>1024059.5</v>
      </c>
      <c r="F112" s="153">
        <v>753817.65582759003</v>
      </c>
      <c r="G112" s="153">
        <v>103252.61500000002</v>
      </c>
      <c r="H112" s="153">
        <v>258544</v>
      </c>
      <c r="I112" s="156">
        <v>598526.27082759002</v>
      </c>
      <c r="J112" s="156">
        <v>130257.37417241</v>
      </c>
      <c r="K112" s="157">
        <f>425533.22917241-0.8</f>
        <v>425532.42917240999</v>
      </c>
    </row>
    <row r="113" spans="1:11">
      <c r="A113" s="1045" t="s">
        <v>1225</v>
      </c>
      <c r="B113" s="153">
        <v>1820295</v>
      </c>
      <c r="C113" s="153">
        <v>47872.03</v>
      </c>
      <c r="D113" s="153">
        <v>537953</v>
      </c>
      <c r="E113" s="154">
        <f t="shared" si="25"/>
        <v>1330214.03</v>
      </c>
      <c r="F113" s="153">
        <v>1478166.1085677366</v>
      </c>
      <c r="G113" s="153">
        <v>46906.637584569173</v>
      </c>
      <c r="H113" s="153">
        <v>511055</v>
      </c>
      <c r="I113" s="156">
        <v>1014017.7461523057</v>
      </c>
      <c r="J113" s="156">
        <v>342128.89143226342</v>
      </c>
      <c r="K113" s="157">
        <f>316196.283847694-0.8</f>
        <v>316195.48384769401</v>
      </c>
    </row>
    <row r="114" spans="1:11" ht="15" thickBot="1">
      <c r="A114" s="1046" t="s">
        <v>1226</v>
      </c>
      <c r="B114" s="153">
        <v>28507136.800000001</v>
      </c>
      <c r="C114" s="153">
        <v>422775</v>
      </c>
      <c r="D114" s="153">
        <v>2741803.7199999997</v>
      </c>
      <c r="E114" s="154">
        <f t="shared" si="25"/>
        <v>26188108.080000002</v>
      </c>
      <c r="F114" s="153">
        <v>16647091.583539886</v>
      </c>
      <c r="G114" s="153">
        <v>1861537.3326213248</v>
      </c>
      <c r="H114" s="153">
        <v>2163078.08</v>
      </c>
      <c r="I114" s="156">
        <v>16345550.836161209</v>
      </c>
      <c r="J114" s="158">
        <v>11860045.216460114</v>
      </c>
      <c r="K114" s="159">
        <f>9842557.24383879-2</f>
        <v>9842555.2438387908</v>
      </c>
    </row>
    <row r="115" spans="1:11" ht="16.2" thickBot="1">
      <c r="A115" s="1047" t="s">
        <v>1251</v>
      </c>
      <c r="B115" s="1061">
        <f t="shared" ref="B115:I115" si="26">+SUM(B107:B114)</f>
        <v>342535116.05799997</v>
      </c>
      <c r="C115" s="1061">
        <f t="shared" si="26"/>
        <v>9027513.1400000006</v>
      </c>
      <c r="D115" s="1061">
        <f t="shared" si="26"/>
        <v>11096037.949999999</v>
      </c>
      <c r="E115" s="1061">
        <f t="shared" si="26"/>
        <v>340466591.24799991</v>
      </c>
      <c r="F115" s="1061">
        <f t="shared" si="26"/>
        <v>116139946.83457838</v>
      </c>
      <c r="G115" s="1061">
        <f t="shared" si="26"/>
        <v>17727981.603100225</v>
      </c>
      <c r="H115" s="1061">
        <f t="shared" si="26"/>
        <v>9631137.4542230479</v>
      </c>
      <c r="I115" s="1061">
        <f t="shared" si="26"/>
        <v>124236790.98345557</v>
      </c>
      <c r="J115" s="1061">
        <f>+SUM(J107:J114)</f>
        <v>226395169.22342157</v>
      </c>
      <c r="K115" s="1061">
        <f>+SUM(K107:K114)</f>
        <v>216229797.89454442</v>
      </c>
    </row>
    <row r="116" spans="1:11" ht="15" thickBot="1">
      <c r="A116" s="1049"/>
      <c r="B116" s="160"/>
      <c r="K116" s="1050"/>
    </row>
    <row r="117" spans="1:11" ht="15" thickBot="1">
      <c r="A117" s="1051" t="s">
        <v>461</v>
      </c>
      <c r="B117" s="1052"/>
      <c r="C117" s="1052"/>
      <c r="D117" s="1052"/>
      <c r="E117" s="1052"/>
      <c r="F117" s="1052"/>
      <c r="G117" s="1052"/>
      <c r="H117" s="1052"/>
      <c r="I117" s="1052"/>
      <c r="J117" s="1052"/>
      <c r="K117" s="1053"/>
    </row>
    <row r="118" spans="1:11">
      <c r="A118" s="1054" t="s">
        <v>1252</v>
      </c>
      <c r="B118" s="153">
        <v>172560</v>
      </c>
      <c r="C118" s="153">
        <v>2867475.08</v>
      </c>
      <c r="D118" s="153">
        <v>2907027.08</v>
      </c>
      <c r="E118" s="161">
        <v>133008</v>
      </c>
      <c r="F118" s="153">
        <v>0</v>
      </c>
      <c r="G118" s="153">
        <v>0</v>
      </c>
      <c r="H118" s="153">
        <v>0</v>
      </c>
      <c r="I118" s="153">
        <v>0</v>
      </c>
      <c r="J118" s="161">
        <v>172559.99999999988</v>
      </c>
      <c r="K118" s="1056">
        <v>133008</v>
      </c>
    </row>
    <row r="119" spans="1:11" ht="15" thickBot="1">
      <c r="A119" s="1057" t="s">
        <v>1253</v>
      </c>
      <c r="B119" s="153">
        <v>229919</v>
      </c>
      <c r="C119" s="153">
        <v>3105824.5399999996</v>
      </c>
      <c r="D119" s="153">
        <v>3155744</v>
      </c>
      <c r="E119" s="161">
        <v>179999.53999999957</v>
      </c>
      <c r="F119" s="153">
        <v>0</v>
      </c>
      <c r="G119" s="153">
        <v>0</v>
      </c>
      <c r="H119" s="153">
        <v>0</v>
      </c>
      <c r="I119" s="153">
        <v>0</v>
      </c>
      <c r="J119" s="1058">
        <v>229919</v>
      </c>
      <c r="K119" s="1056">
        <v>179999.53999999957</v>
      </c>
    </row>
    <row r="120" spans="1:11" ht="16.2" thickBot="1">
      <c r="A120" s="1059" t="s">
        <v>1251</v>
      </c>
      <c r="B120" s="1060">
        <v>402479</v>
      </c>
      <c r="C120" s="1048">
        <v>5973299.6199999992</v>
      </c>
      <c r="D120" s="1048">
        <v>6062771.0800000001</v>
      </c>
      <c r="E120" s="1048">
        <v>313007.53999999957</v>
      </c>
      <c r="F120" s="1048">
        <v>0</v>
      </c>
      <c r="G120" s="1048">
        <v>0</v>
      </c>
      <c r="H120" s="1048">
        <v>0</v>
      </c>
      <c r="I120" s="1048">
        <v>0</v>
      </c>
      <c r="J120" s="1048">
        <v>402478.99999999988</v>
      </c>
      <c r="K120" s="1061">
        <v>313007.53999999957</v>
      </c>
    </row>
    <row r="121" spans="1:11" ht="15" thickBot="1">
      <c r="A121" s="1062"/>
      <c r="K121" s="1050"/>
    </row>
    <row r="122" spans="1:11" ht="16.2" thickBot="1">
      <c r="A122" s="1059" t="s">
        <v>911</v>
      </c>
      <c r="B122" s="1060">
        <v>342937595.05799997</v>
      </c>
      <c r="C122" s="1048">
        <v>15000812.76</v>
      </c>
      <c r="D122" s="1048">
        <v>17158809.030000001</v>
      </c>
      <c r="E122" s="1048">
        <v>340779598.78799993</v>
      </c>
      <c r="F122" s="1048">
        <v>116139946.83457838</v>
      </c>
      <c r="G122" s="1048">
        <v>17727981.603100225</v>
      </c>
      <c r="H122" s="1048">
        <v>9631137.4542230479</v>
      </c>
      <c r="I122" s="1048">
        <v>124236790.98345557</v>
      </c>
      <c r="J122" s="1048">
        <v>226797648.22342157</v>
      </c>
      <c r="K122" s="1061">
        <v>216542807.80454442</v>
      </c>
    </row>
  </sheetData>
  <mergeCells count="16">
    <mergeCell ref="B104:K104"/>
    <mergeCell ref="A105:A106"/>
    <mergeCell ref="B105:E105"/>
    <mergeCell ref="F105:I105"/>
    <mergeCell ref="B59:K59"/>
    <mergeCell ref="A60:A61"/>
    <mergeCell ref="B60:E60"/>
    <mergeCell ref="F60:I60"/>
    <mergeCell ref="A84:A85"/>
    <mergeCell ref="B84:E84"/>
    <mergeCell ref="F84:I84"/>
    <mergeCell ref="A34:A35"/>
    <mergeCell ref="B34:F34"/>
    <mergeCell ref="A47:A48"/>
    <mergeCell ref="B47:F47"/>
    <mergeCell ref="B83:K83"/>
  </mergeCells>
  <hyperlinks>
    <hyperlink ref="A86" location="'1'!A1" tooltip="Click to go to &quot;Land&quot; Sheet" display="Land" xr:uid="{00000000-0004-0000-0E00-000000000000}"/>
    <hyperlink ref="A87" location="'2'!A1" tooltip="Click to go to &quot;Buildings&quot; Sheet" display="Buildings" xr:uid="{00000000-0004-0000-0E00-000001000000}"/>
    <hyperlink ref="A88" location="'3'!A1" tooltip="Click to go to &quot;Plant &amp; Machinery&quot; Sheet" display="Plant and Machinery" xr:uid="{00000000-0004-0000-0E00-000002000000}"/>
    <hyperlink ref="A89" location="'4'!A1" tooltip="Click to go to &quot;Motor Vehicles&quot; Sheet" display="Motor Vehicles" xr:uid="{00000000-0004-0000-0E00-000003000000}"/>
    <hyperlink ref="A90" location="'5'!A1" tooltip="Click to go to &quot;Computers&quot; Sheet" display="Computers" xr:uid="{00000000-0004-0000-0E00-000004000000}"/>
    <hyperlink ref="A91" location="'6'!A1" tooltip="Click to go to &quot;Office Equipments&quot; Sheet" display="Office Equipments" xr:uid="{00000000-0004-0000-0E00-000005000000}"/>
    <hyperlink ref="A92" location="'7'!A1" tooltip="Click to go to &quot;Furniture &amp; Fittings&quot; Sheet" display="Furniture and Fittings" xr:uid="{00000000-0004-0000-0E00-000006000000}"/>
    <hyperlink ref="A93" location="'8'!A1" tooltip="Click to go to &quot;Electrical Installations&quot; Sheet" display="Electrical Installations" xr:uid="{00000000-0004-0000-0E00-000007000000}"/>
    <hyperlink ref="B4" location="'1'!A1" tooltip="Click to go to &quot;Land&quot; Sheet" display="Land" xr:uid="{00000000-0004-0000-0E00-000008000000}"/>
    <hyperlink ref="C4" location="'2'!A1" tooltip="Click to go to &quot;Buildings&quot; Sheet" display="Buildings" xr:uid="{00000000-0004-0000-0E00-000009000000}"/>
    <hyperlink ref="D4" location="'3'!A1" tooltip="Click to go to &quot;Plant &amp; Machinery&quot; Sheet" display="Plant and Machinery" xr:uid="{00000000-0004-0000-0E00-00000A000000}"/>
    <hyperlink ref="E4" location="'4'!A1" tooltip="Click to go to &quot;Motor Vehicles&quot; Sheet" display="Motor Vehicles" xr:uid="{00000000-0004-0000-0E00-00000B000000}"/>
    <hyperlink ref="F4" location="'5'!A1" tooltip="Click to go to &quot;Computers&quot; Sheet" display="Computers" xr:uid="{00000000-0004-0000-0E00-00000C000000}"/>
    <hyperlink ref="G4" location="'6'!A1" tooltip="Click to go to &quot;Office Equipments&quot; Sheet" display="Office Equipments" xr:uid="{00000000-0004-0000-0E00-00000D000000}"/>
    <hyperlink ref="H4" location="'7'!A1" tooltip="Click to go to &quot;Furniture &amp; Fittings&quot; Sheet" display="Furniture and Fittings" xr:uid="{00000000-0004-0000-0E00-00000E000000}"/>
    <hyperlink ref="I4" location="'8'!A1" tooltip="Click to go to &quot;Electrical Installations&quot; Sheet" display="Electrical Installations" xr:uid="{00000000-0004-0000-0E00-00000F000000}"/>
  </hyperlinks>
  <pageMargins left="0.70866141732283472" right="0.70866141732283472" top="0.74803149606299213" bottom="0.74803149606299213" header="0.31496062992125984" footer="0.31496062992125984"/>
  <pageSetup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22"/>
  <sheetViews>
    <sheetView view="pageBreakPreview" topLeftCell="A4" zoomScale="55" zoomScaleNormal="85" zoomScaleSheetLayoutView="55" workbookViewId="0">
      <selection activeCell="B12" sqref="B12:I12"/>
    </sheetView>
  </sheetViews>
  <sheetFormatPr defaultColWidth="9.109375" defaultRowHeight="14.4"/>
  <cols>
    <col min="1" max="1" width="30.44140625" customWidth="1"/>
    <col min="2" max="2" width="22.109375" customWidth="1"/>
    <col min="3" max="4" width="19.5546875" customWidth="1"/>
    <col min="5" max="5" width="22.109375" customWidth="1"/>
    <col min="6" max="6" width="21.6640625" customWidth="1"/>
    <col min="7" max="9" width="19.5546875" customWidth="1"/>
    <col min="10" max="10" width="20.6640625" customWidth="1"/>
    <col min="11" max="11" width="35" customWidth="1"/>
    <col min="12" max="12" width="16.44140625" bestFit="1" customWidth="1"/>
    <col min="13" max="13" width="15.33203125" bestFit="1" customWidth="1"/>
    <col min="14" max="14" width="14.88671875" bestFit="1" customWidth="1"/>
    <col min="15" max="15" width="13.88671875" bestFit="1" customWidth="1"/>
    <col min="16" max="16" width="15" bestFit="1" customWidth="1"/>
    <col min="18" max="18" width="12.44140625" bestFit="1" customWidth="1"/>
  </cols>
  <sheetData>
    <row r="1" spans="1:12" ht="15.6">
      <c r="A1" s="2081" t="s">
        <v>1219</v>
      </c>
      <c r="B1" s="1960"/>
      <c r="C1" s="1960"/>
      <c r="D1" s="1960"/>
      <c r="E1" s="1960"/>
      <c r="F1" s="1960"/>
      <c r="G1" s="1960"/>
      <c r="H1" s="1960"/>
      <c r="I1" s="1960"/>
      <c r="J1" s="1961"/>
      <c r="K1">
        <v>100000</v>
      </c>
    </row>
    <row r="2" spans="1:12">
      <c r="A2" s="1962"/>
      <c r="J2" s="1050"/>
    </row>
    <row r="3" spans="1:12">
      <c r="A3" s="1049"/>
      <c r="J3" s="1050"/>
    </row>
    <row r="4" spans="1:12" ht="31.95" customHeight="1">
      <c r="A4" s="1963" t="s">
        <v>1220</v>
      </c>
      <c r="B4" s="1964" t="s">
        <v>192</v>
      </c>
      <c r="C4" s="1964" t="s">
        <v>1221</v>
      </c>
      <c r="D4" s="1964" t="s">
        <v>302</v>
      </c>
      <c r="E4" s="1964" t="s">
        <v>1222</v>
      </c>
      <c r="F4" s="1964" t="s">
        <v>1223</v>
      </c>
      <c r="G4" s="1964" t="s">
        <v>1224</v>
      </c>
      <c r="H4" s="1964" t="s">
        <v>1225</v>
      </c>
      <c r="I4" s="1964" t="s">
        <v>1226</v>
      </c>
      <c r="J4" s="1965" t="s">
        <v>461</v>
      </c>
    </row>
    <row r="5" spans="1:12">
      <c r="A5" s="1966" t="s">
        <v>1227</v>
      </c>
      <c r="B5" s="148"/>
      <c r="C5" s="148"/>
      <c r="D5" s="148"/>
      <c r="E5" s="148"/>
      <c r="F5" s="148"/>
      <c r="G5" s="148"/>
      <c r="H5" s="148"/>
      <c r="I5" s="148"/>
      <c r="J5" s="1050"/>
    </row>
    <row r="6" spans="1:12">
      <c r="A6" s="1966" t="s">
        <v>1263</v>
      </c>
      <c r="B6" s="1596">
        <f>+B86/K1</f>
        <v>339.64999899999998</v>
      </c>
      <c r="C6" s="1596">
        <f>+B87/K1</f>
        <v>589.23230529999989</v>
      </c>
      <c r="D6" s="1596">
        <f>+B88/K1</f>
        <v>2153.0034250799999</v>
      </c>
      <c r="E6" s="1597">
        <f>+B89/K1</f>
        <v>29.911110000000001</v>
      </c>
      <c r="F6" s="1596">
        <f>+B90/K1</f>
        <v>7.4452569999999998</v>
      </c>
      <c r="G6" s="1596">
        <f>+B91/K1</f>
        <v>10.240595000000001</v>
      </c>
      <c r="H6" s="1596">
        <f>+B92/K1</f>
        <v>13.3021403</v>
      </c>
      <c r="I6" s="1596">
        <f>+B93/K1</f>
        <v>261.88108080000001</v>
      </c>
      <c r="J6" s="1967">
        <f>+B99/K1</f>
        <v>3.1300713999999918</v>
      </c>
    </row>
    <row r="7" spans="1:12">
      <c r="A7" s="1968" t="s">
        <v>1228</v>
      </c>
      <c r="B7" s="1598">
        <f>+C86/K1</f>
        <v>0</v>
      </c>
      <c r="C7" s="1598">
        <f>+C87/K1</f>
        <v>23.631479900000002</v>
      </c>
      <c r="D7" s="1598">
        <f>+C88/K1</f>
        <v>68.040708600000002</v>
      </c>
      <c r="E7" s="1599">
        <f>+C89/K1</f>
        <v>0</v>
      </c>
      <c r="F7" s="1598">
        <f>+C90/K1</f>
        <v>1.2410975771976001</v>
      </c>
      <c r="G7" s="1598">
        <f>+C91/K1</f>
        <v>0.99683630000000001</v>
      </c>
      <c r="H7" s="1598">
        <f>+C92/K1</f>
        <v>0.13983000000000001</v>
      </c>
      <c r="I7" s="1598">
        <f>+C93/K1</f>
        <v>2.7048000000000001</v>
      </c>
      <c r="J7" s="1967">
        <f>+(C99+0.86)/K1</f>
        <v>440.22622499999994</v>
      </c>
    </row>
    <row r="8" spans="1:12">
      <c r="A8" s="1968" t="s">
        <v>1229</v>
      </c>
      <c r="B8" s="1598">
        <f>+D86</f>
        <v>0</v>
      </c>
      <c r="C8" s="1598">
        <f>+D87</f>
        <v>0</v>
      </c>
      <c r="D8" s="1598">
        <f>+D88</f>
        <v>0</v>
      </c>
      <c r="E8" s="1599">
        <f>+D89</f>
        <v>0</v>
      </c>
      <c r="F8" s="1598">
        <f>+D90</f>
        <v>0</v>
      </c>
      <c r="G8" s="1598">
        <f>+D91</f>
        <v>0</v>
      </c>
      <c r="H8" s="1598">
        <f>+D92</f>
        <v>0</v>
      </c>
      <c r="I8" s="1598">
        <f>+D93</f>
        <v>0</v>
      </c>
      <c r="J8" s="1967">
        <f>+D99/K1</f>
        <v>39.548794199999996</v>
      </c>
    </row>
    <row r="9" spans="1:12">
      <c r="A9" s="1966" t="s">
        <v>1230</v>
      </c>
      <c r="B9" s="1596">
        <f>+B6+B7-B8</f>
        <v>339.64999899999998</v>
      </c>
      <c r="C9" s="1596">
        <f t="shared" ref="C9:J9" si="0">+C6+C7-C8</f>
        <v>612.86378519999994</v>
      </c>
      <c r="D9" s="1596">
        <f t="shared" si="0"/>
        <v>2221.04413368</v>
      </c>
      <c r="E9" s="1596">
        <f t="shared" si="0"/>
        <v>29.911110000000001</v>
      </c>
      <c r="F9" s="1596">
        <f t="shared" si="0"/>
        <v>8.6863545771975996</v>
      </c>
      <c r="G9" s="1596">
        <f t="shared" si="0"/>
        <v>11.237431300000001</v>
      </c>
      <c r="H9" s="1596">
        <f t="shared" si="0"/>
        <v>13.441970299999999</v>
      </c>
      <c r="I9" s="1596">
        <f t="shared" si="0"/>
        <v>264.58588079999998</v>
      </c>
      <c r="J9" s="1969">
        <f t="shared" si="0"/>
        <v>403.80750219999999</v>
      </c>
    </row>
    <row r="10" spans="1:12">
      <c r="A10" s="1968" t="s">
        <v>1228</v>
      </c>
      <c r="B10" s="1598">
        <f>+C62</f>
        <v>0</v>
      </c>
      <c r="C10" s="1598">
        <f>+C63/K1</f>
        <v>28.303319999999999</v>
      </c>
      <c r="D10" s="1598">
        <f>+C64/K1</f>
        <v>0.63178000000000001</v>
      </c>
      <c r="E10" s="1599">
        <f>+C65</f>
        <v>0</v>
      </c>
      <c r="F10" s="1598">
        <f>+C66/K1</f>
        <v>0.29799999999999999</v>
      </c>
      <c r="G10" s="1598">
        <f>+C67</f>
        <v>0</v>
      </c>
      <c r="H10" s="1598">
        <f>+C68/K1</f>
        <v>5.40632</v>
      </c>
      <c r="I10" s="1598">
        <f>+C69/K1</f>
        <v>0.98460000000000003</v>
      </c>
      <c r="J10" s="1967">
        <f>+C75/K1</f>
        <v>1088.9681439000001</v>
      </c>
    </row>
    <row r="11" spans="1:12">
      <c r="A11" s="1968" t="s">
        <v>1229</v>
      </c>
      <c r="B11" s="1598">
        <f>+D62</f>
        <v>0</v>
      </c>
      <c r="C11" s="1598">
        <f>+D63</f>
        <v>0</v>
      </c>
      <c r="D11" s="1598">
        <f>+D64</f>
        <v>0</v>
      </c>
      <c r="E11" s="1599">
        <f>+D65</f>
        <v>0</v>
      </c>
      <c r="F11" s="1598">
        <f>+D66</f>
        <v>0</v>
      </c>
      <c r="G11" s="1598">
        <f>+D67</f>
        <v>0</v>
      </c>
      <c r="H11" s="1598">
        <f>+D68</f>
        <v>0</v>
      </c>
      <c r="I11" s="1598">
        <f>+D69</f>
        <v>0</v>
      </c>
      <c r="J11" s="1967">
        <f>+D75/K1</f>
        <v>28.303319999999999</v>
      </c>
    </row>
    <row r="12" spans="1:12">
      <c r="A12" s="1970" t="s">
        <v>1262</v>
      </c>
      <c r="B12" s="1971">
        <f>+B9+B10-B11</f>
        <v>339.64999899999998</v>
      </c>
      <c r="C12" s="1971">
        <f t="shared" ref="C12:J12" si="1">+C9+C10-C11</f>
        <v>641.16710519999992</v>
      </c>
      <c r="D12" s="1971">
        <f t="shared" si="1"/>
        <v>2221.6759136800001</v>
      </c>
      <c r="E12" s="1972">
        <f t="shared" si="1"/>
        <v>29.911110000000001</v>
      </c>
      <c r="F12" s="1971">
        <f t="shared" si="1"/>
        <v>8.9843545771975997</v>
      </c>
      <c r="G12" s="1971">
        <f t="shared" si="1"/>
        <v>11.237431300000001</v>
      </c>
      <c r="H12" s="1971">
        <f t="shared" si="1"/>
        <v>18.848290299999999</v>
      </c>
      <c r="I12" s="1971">
        <f t="shared" si="1"/>
        <v>265.57048079999998</v>
      </c>
      <c r="J12" s="1973">
        <f t="shared" si="1"/>
        <v>1464.4723261000001</v>
      </c>
      <c r="K12">
        <v>146320240.61000001</v>
      </c>
      <c r="L12" s="630">
        <f>+J12-K12</f>
        <v>-146318776.13767391</v>
      </c>
    </row>
    <row r="13" spans="1:12">
      <c r="A13" s="1968"/>
      <c r="B13" s="1598"/>
      <c r="C13" s="1598"/>
      <c r="D13" s="1598"/>
      <c r="E13" s="1599"/>
      <c r="F13" s="1598"/>
      <c r="G13" s="1598"/>
      <c r="H13" s="1598"/>
      <c r="I13" s="1598"/>
      <c r="J13" s="1967"/>
    </row>
    <row r="14" spans="1:12">
      <c r="A14" s="1966" t="s">
        <v>144</v>
      </c>
      <c r="B14" s="1598"/>
      <c r="C14" s="1598"/>
      <c r="D14" s="1598"/>
      <c r="E14" s="1599"/>
      <c r="F14" s="1598"/>
      <c r="G14" s="1598"/>
      <c r="H14" s="1598"/>
      <c r="I14" s="1598"/>
      <c r="J14" s="1967"/>
    </row>
    <row r="15" spans="1:12">
      <c r="A15" s="1966" t="s">
        <v>1263</v>
      </c>
      <c r="B15" s="1596">
        <f>+F86</f>
        <v>0</v>
      </c>
      <c r="C15" s="1596">
        <f>+F87/K1</f>
        <v>55.348939886987672</v>
      </c>
      <c r="D15" s="1596">
        <f>+F88/K1</f>
        <v>994.9616843806109</v>
      </c>
      <c r="E15" s="1597">
        <f>+F89/K1</f>
        <v>5.587198380660074</v>
      </c>
      <c r="F15" s="1596">
        <f>+F90/K1</f>
        <v>6.8891361548858461</v>
      </c>
      <c r="G15" s="1596">
        <f>+F91/K1</f>
        <v>5.9852587082759001</v>
      </c>
      <c r="H15" s="1596">
        <f>+F92/K1</f>
        <v>10.140173961523059</v>
      </c>
      <c r="I15" s="1596">
        <f>+F93/K1</f>
        <v>163.45550182161207</v>
      </c>
      <c r="J15" s="1969">
        <v>0</v>
      </c>
    </row>
    <row r="16" spans="1:12">
      <c r="A16" s="1968" t="s">
        <v>1228</v>
      </c>
      <c r="B16" s="1598">
        <f>+G86</f>
        <v>0</v>
      </c>
      <c r="C16" s="1598">
        <f>+(G87+0.0445187091827393)/K1</f>
        <v>19.053265265378876</v>
      </c>
      <c r="D16" s="1598">
        <f>+G88/K1</f>
        <v>136.28774029168235</v>
      </c>
      <c r="E16" s="1599">
        <f>+G89/K1</f>
        <v>3.6914896419712795</v>
      </c>
      <c r="F16" s="1598">
        <f>+G90/K1</f>
        <v>0.41542628027397266</v>
      </c>
      <c r="G16" s="1598">
        <f>+G91/K1</f>
        <v>1.1399687240821919</v>
      </c>
      <c r="H16" s="1598">
        <f>+G92/K1</f>
        <v>0.48716195062163409</v>
      </c>
      <c r="I16" s="1598">
        <f>+G93/K1</f>
        <v>18.502433204432425</v>
      </c>
      <c r="J16" s="1974">
        <f>+H110</f>
        <v>0</v>
      </c>
    </row>
    <row r="17" spans="1:10">
      <c r="A17" s="1968" t="s">
        <v>1229</v>
      </c>
      <c r="B17" s="1598">
        <f>+H86</f>
        <v>0</v>
      </c>
      <c r="C17" s="1598">
        <f>+H87</f>
        <v>0</v>
      </c>
      <c r="D17" s="1598">
        <f>+H88</f>
        <v>0</v>
      </c>
      <c r="E17" s="1599">
        <f>+H89</f>
        <v>0</v>
      </c>
      <c r="F17" s="1598">
        <f>+H90</f>
        <v>0</v>
      </c>
      <c r="G17" s="1598">
        <f>+H91</f>
        <v>0</v>
      </c>
      <c r="H17" s="1598">
        <f>+H92</f>
        <v>0</v>
      </c>
      <c r="I17" s="1598">
        <f>+H93</f>
        <v>0</v>
      </c>
      <c r="J17" s="1974">
        <v>0</v>
      </c>
    </row>
    <row r="18" spans="1:10">
      <c r="A18" s="1966" t="s">
        <v>1230</v>
      </c>
      <c r="B18" s="1596">
        <f>+B15+B16-B17</f>
        <v>0</v>
      </c>
      <c r="C18" s="1596">
        <f t="shared" ref="C18:J18" si="2">+C15+C16-C17</f>
        <v>74.402205152366548</v>
      </c>
      <c r="D18" s="1596">
        <f t="shared" si="2"/>
        <v>1131.2494246722933</v>
      </c>
      <c r="E18" s="1597">
        <f t="shared" si="2"/>
        <v>9.2786880226313535</v>
      </c>
      <c r="F18" s="1596">
        <f t="shared" si="2"/>
        <v>7.3045624351598191</v>
      </c>
      <c r="G18" s="1596">
        <f t="shared" si="2"/>
        <v>7.1252274323580922</v>
      </c>
      <c r="H18" s="1596">
        <f t="shared" si="2"/>
        <v>10.627335912144693</v>
      </c>
      <c r="I18" s="1596">
        <f t="shared" si="2"/>
        <v>181.95793502604451</v>
      </c>
      <c r="J18" s="1969">
        <f t="shared" si="2"/>
        <v>0</v>
      </c>
    </row>
    <row r="19" spans="1:10">
      <c r="A19" s="1968" t="s">
        <v>1228</v>
      </c>
      <c r="B19" s="1598">
        <f>+G86</f>
        <v>0</v>
      </c>
      <c r="C19" s="1598">
        <f>+(G63+0.47)/K1</f>
        <v>19.8910947</v>
      </c>
      <c r="D19" s="1598">
        <f>+(G64+0.47)/K1</f>
        <v>136.5088547</v>
      </c>
      <c r="E19" s="1599">
        <f>+(G65+0.47)/K1</f>
        <v>3.6914946999999998</v>
      </c>
      <c r="F19" s="1598">
        <f>+(G66+0.47)/K1</f>
        <v>0.45170470000000001</v>
      </c>
      <c r="G19" s="1598">
        <f>+(G67+0.47)/K1</f>
        <v>1.1407247</v>
      </c>
      <c r="H19" s="1598">
        <f>+(G68+0.47)/K1</f>
        <v>0.56194469999999996</v>
      </c>
      <c r="I19" s="1598">
        <f>+(G69+0.47)/K1</f>
        <v>18.570884700000001</v>
      </c>
      <c r="J19" s="1974">
        <v>0</v>
      </c>
    </row>
    <row r="20" spans="1:10">
      <c r="A20" s="1968" t="s">
        <v>1229</v>
      </c>
      <c r="B20" s="1598">
        <f>+H86</f>
        <v>0</v>
      </c>
      <c r="C20" s="1598">
        <f>+H87</f>
        <v>0</v>
      </c>
      <c r="D20" s="1598">
        <f>+H88</f>
        <v>0</v>
      </c>
      <c r="E20" s="1599">
        <f>+H89</f>
        <v>0</v>
      </c>
      <c r="F20" s="1598">
        <f>+H90</f>
        <v>0</v>
      </c>
      <c r="G20" s="1598">
        <f>+H91</f>
        <v>0</v>
      </c>
      <c r="H20" s="1598">
        <f>+H92</f>
        <v>0</v>
      </c>
      <c r="I20" s="1598">
        <f>+H93</f>
        <v>0</v>
      </c>
      <c r="J20" s="1974">
        <v>0</v>
      </c>
    </row>
    <row r="21" spans="1:10">
      <c r="A21" s="1970" t="s">
        <v>1262</v>
      </c>
      <c r="B21" s="1971">
        <f>+B18+B19-B20</f>
        <v>0</v>
      </c>
      <c r="C21" s="1971">
        <f t="shared" ref="C21:J21" si="3">+C18+C19-C20</f>
        <v>94.293299852366545</v>
      </c>
      <c r="D21" s="1971">
        <f t="shared" si="3"/>
        <v>1267.7582793722934</v>
      </c>
      <c r="E21" s="1971">
        <f t="shared" si="3"/>
        <v>12.970182722631353</v>
      </c>
      <c r="F21" s="1971">
        <f t="shared" si="3"/>
        <v>7.7562671351598187</v>
      </c>
      <c r="G21" s="1971">
        <f t="shared" si="3"/>
        <v>8.2659521323580929</v>
      </c>
      <c r="H21" s="1971">
        <f t="shared" si="3"/>
        <v>11.189280612144692</v>
      </c>
      <c r="I21" s="1971">
        <f t="shared" si="3"/>
        <v>200.5288197260445</v>
      </c>
      <c r="J21" s="1973">
        <f t="shared" si="3"/>
        <v>0</v>
      </c>
    </row>
    <row r="22" spans="1:10">
      <c r="A22" s="1968"/>
      <c r="B22" s="1598"/>
      <c r="C22" s="1598"/>
      <c r="D22" s="1598"/>
      <c r="E22" s="1598"/>
      <c r="F22" s="1598"/>
      <c r="G22" s="1598"/>
      <c r="H22" s="1598"/>
      <c r="I22" s="1598"/>
      <c r="J22" s="1967"/>
    </row>
    <row r="23" spans="1:10">
      <c r="A23" s="1970" t="s">
        <v>1263</v>
      </c>
      <c r="B23" s="1971">
        <f>+B6-B15</f>
        <v>339.64999899999998</v>
      </c>
      <c r="C23" s="1971">
        <f t="shared" ref="C23:J23" si="4">+C6-C15</f>
        <v>533.88336541301226</v>
      </c>
      <c r="D23" s="1971">
        <f t="shared" si="4"/>
        <v>1158.041740699389</v>
      </c>
      <c r="E23" s="1971">
        <f t="shared" si="4"/>
        <v>24.323911619339928</v>
      </c>
      <c r="F23" s="1971">
        <f t="shared" si="4"/>
        <v>0.55612084511415372</v>
      </c>
      <c r="G23" s="1971">
        <f t="shared" si="4"/>
        <v>4.2553362917241007</v>
      </c>
      <c r="H23" s="1971">
        <f t="shared" si="4"/>
        <v>3.1619663384769403</v>
      </c>
      <c r="I23" s="1971">
        <f t="shared" si="4"/>
        <v>98.425578978387932</v>
      </c>
      <c r="J23" s="1973">
        <f t="shared" si="4"/>
        <v>3.1300713999999918</v>
      </c>
    </row>
    <row r="24" spans="1:10">
      <c r="A24" s="1975" t="s">
        <v>1230</v>
      </c>
      <c r="B24" s="1976">
        <f>+B9-B18</f>
        <v>339.64999899999998</v>
      </c>
      <c r="C24" s="1976">
        <f t="shared" ref="C24:J24" si="5">+C9-C18</f>
        <v>538.46158004763333</v>
      </c>
      <c r="D24" s="1976">
        <f t="shared" si="5"/>
        <v>1089.7947090077066</v>
      </c>
      <c r="E24" s="1976">
        <f t="shared" si="5"/>
        <v>20.632421977368647</v>
      </c>
      <c r="F24" s="1976">
        <f t="shared" si="5"/>
        <v>1.3817921420377806</v>
      </c>
      <c r="G24" s="1976">
        <f t="shared" si="5"/>
        <v>4.1122038676419086</v>
      </c>
      <c r="H24" s="1976">
        <f t="shared" si="5"/>
        <v>2.8146343878553068</v>
      </c>
      <c r="I24" s="1976">
        <f t="shared" si="5"/>
        <v>82.627945773955474</v>
      </c>
      <c r="J24" s="1977">
        <f t="shared" si="5"/>
        <v>403.80750219999999</v>
      </c>
    </row>
    <row r="25" spans="1:10">
      <c r="A25" s="1978" t="s">
        <v>1262</v>
      </c>
      <c r="B25" s="1600">
        <f>+B12-B21</f>
        <v>339.64999899999998</v>
      </c>
      <c r="C25" s="1600">
        <f t="shared" ref="C25:J25" si="6">+C12-C21</f>
        <v>546.87380534763338</v>
      </c>
      <c r="D25" s="1600">
        <f t="shared" si="6"/>
        <v>953.91763430770675</v>
      </c>
      <c r="E25" s="1600">
        <f t="shared" si="6"/>
        <v>16.940927277368647</v>
      </c>
      <c r="F25" s="1600">
        <f t="shared" si="6"/>
        <v>1.228087442037781</v>
      </c>
      <c r="G25" s="1600">
        <f t="shared" si="6"/>
        <v>2.9714791676419079</v>
      </c>
      <c r="H25" s="1600">
        <f t="shared" si="6"/>
        <v>7.6590096878553062</v>
      </c>
      <c r="I25" s="1600">
        <f t="shared" si="6"/>
        <v>65.041661073955481</v>
      </c>
      <c r="J25" s="1979">
        <f t="shared" si="6"/>
        <v>1464.4723261000001</v>
      </c>
    </row>
    <row r="26" spans="1:10">
      <c r="A26" s="1049"/>
      <c r="J26" s="1050"/>
    </row>
    <row r="27" spans="1:10">
      <c r="A27" s="1980" t="s">
        <v>1231</v>
      </c>
      <c r="J27" s="1050"/>
    </row>
    <row r="28" spans="1:10">
      <c r="A28" s="1049" t="s">
        <v>3144</v>
      </c>
      <c r="J28" s="1050"/>
    </row>
    <row r="29" spans="1:10">
      <c r="A29" s="1049"/>
      <c r="J29" s="1050"/>
    </row>
    <row r="30" spans="1:10">
      <c r="A30" s="1049" t="s">
        <v>1232</v>
      </c>
      <c r="J30" s="1050"/>
    </row>
    <row r="31" spans="1:10">
      <c r="A31" s="1049"/>
      <c r="J31" s="1050"/>
    </row>
    <row r="32" spans="1:10">
      <c r="A32" s="1962" t="s">
        <v>2376</v>
      </c>
      <c r="J32" s="1050"/>
    </row>
    <row r="33" spans="1:18" ht="15" thickBot="1">
      <c r="A33" s="1049"/>
      <c r="J33" s="1050"/>
    </row>
    <row r="34" spans="1:18">
      <c r="A34" s="2355" t="s">
        <v>1233</v>
      </c>
      <c r="B34" s="2357" t="s">
        <v>1234</v>
      </c>
      <c r="C34" s="2357"/>
      <c r="D34" s="2357"/>
      <c r="E34" s="2357"/>
      <c r="F34" s="2358"/>
      <c r="J34" s="1050"/>
    </row>
    <row r="35" spans="1:18">
      <c r="A35" s="2356"/>
      <c r="B35" s="1981" t="s">
        <v>1235</v>
      </c>
      <c r="C35" s="1981" t="s">
        <v>1236</v>
      </c>
      <c r="D35" s="1981" t="s">
        <v>1237</v>
      </c>
      <c r="E35" s="1981" t="s">
        <v>1238</v>
      </c>
      <c r="F35" s="1991" t="s">
        <v>911</v>
      </c>
      <c r="J35" s="1050"/>
      <c r="M35" t="s">
        <v>874</v>
      </c>
      <c r="N35" t="s">
        <v>2358</v>
      </c>
      <c r="O35" t="s">
        <v>1247</v>
      </c>
      <c r="P35" t="s">
        <v>533</v>
      </c>
    </row>
    <row r="36" spans="1:18">
      <c r="A36" s="1982" t="s">
        <v>1239</v>
      </c>
      <c r="B36" s="1081"/>
      <c r="C36" s="1081"/>
      <c r="D36" s="1081"/>
      <c r="E36" s="1081"/>
      <c r="F36" s="1992"/>
      <c r="J36" s="1050"/>
      <c r="K36" t="s">
        <v>2380</v>
      </c>
      <c r="L36" t="s">
        <v>991</v>
      </c>
      <c r="M36" s="1032">
        <f t="shared" ref="M36:M37" si="7">+P37</f>
        <v>40380750.019999996</v>
      </c>
      <c r="N36" s="1032">
        <v>106354564.16</v>
      </c>
      <c r="O36" s="1032">
        <v>10244145</v>
      </c>
      <c r="P36" s="1032">
        <f>+M36+N36-O36</f>
        <v>136491169.18000001</v>
      </c>
      <c r="R36" s="136">
        <f>+N36-O36</f>
        <v>96110419.159999996</v>
      </c>
    </row>
    <row r="37" spans="1:18">
      <c r="A37" s="1982"/>
      <c r="B37" s="1081"/>
      <c r="C37" s="1081"/>
      <c r="D37" s="1081"/>
      <c r="E37" s="1081"/>
      <c r="F37" s="1992"/>
      <c r="J37" s="1050"/>
      <c r="K37" s="627" t="s">
        <v>2381</v>
      </c>
      <c r="L37" t="s">
        <v>992</v>
      </c>
      <c r="M37" s="1032">
        <f t="shared" si="7"/>
        <v>313007.79999999981</v>
      </c>
      <c r="N37" s="1032">
        <v>44022621.640000001</v>
      </c>
      <c r="O37" s="1032">
        <v>3954879.42</v>
      </c>
      <c r="P37" s="1032">
        <f>+M37+N37-O37</f>
        <v>40380750.019999996</v>
      </c>
      <c r="R37" s="136">
        <f>+N37-O37</f>
        <v>40067742.219999999</v>
      </c>
    </row>
    <row r="38" spans="1:18">
      <c r="A38" s="1983" t="s">
        <v>3149</v>
      </c>
      <c r="B38" s="1984">
        <f>+Depreciation!B38/$K$1</f>
        <v>1072.0498</v>
      </c>
      <c r="C38" s="1984">
        <f>+Depreciation!C38/$K$1</f>
        <v>392.42251689999995</v>
      </c>
      <c r="D38" s="1984">
        <v>0</v>
      </c>
      <c r="E38" s="1984">
        <v>0</v>
      </c>
      <c r="F38" s="1993">
        <f>+SUM(B38:E38)</f>
        <v>1464.4723168999999</v>
      </c>
      <c r="J38" s="1050"/>
      <c r="K38" s="627" t="s">
        <v>2381</v>
      </c>
      <c r="L38" t="s">
        <v>2378</v>
      </c>
      <c r="M38" s="1032">
        <f>+P39</f>
        <v>402479</v>
      </c>
      <c r="N38" s="1032">
        <v>6025711.6200000001</v>
      </c>
      <c r="O38" s="1032">
        <v>6115182.8200000003</v>
      </c>
      <c r="P38" s="1032">
        <f>+M38+N38-O38</f>
        <v>313007.79999999981</v>
      </c>
    </row>
    <row r="39" spans="1:18">
      <c r="A39" s="1983"/>
      <c r="B39" s="1984"/>
      <c r="C39" s="1984"/>
      <c r="D39" s="1984"/>
      <c r="E39" s="1984"/>
      <c r="F39" s="1993"/>
      <c r="J39" s="1050"/>
      <c r="K39" s="627" t="s">
        <v>2382</v>
      </c>
      <c r="L39" t="s">
        <v>2379</v>
      </c>
      <c r="M39" s="1032">
        <v>484789</v>
      </c>
      <c r="N39" s="1032">
        <v>5143635.54</v>
      </c>
      <c r="O39" s="1032">
        <v>5225945.54</v>
      </c>
      <c r="P39" s="1032">
        <f>+M39+N39-O39</f>
        <v>402479</v>
      </c>
    </row>
    <row r="40" spans="1:18">
      <c r="A40" s="1983" t="s">
        <v>1240</v>
      </c>
      <c r="B40" s="1984">
        <v>0</v>
      </c>
      <c r="C40" s="1984">
        <v>0</v>
      </c>
      <c r="D40" s="1984">
        <v>0</v>
      </c>
      <c r="E40" s="1984">
        <v>0</v>
      </c>
      <c r="F40" s="1993">
        <f>+SUM(B40:E40)</f>
        <v>0</v>
      </c>
      <c r="J40" s="1050"/>
    </row>
    <row r="41" spans="1:18">
      <c r="A41" s="1983"/>
      <c r="B41" s="1984"/>
      <c r="C41" s="1984"/>
      <c r="D41" s="1984"/>
      <c r="E41" s="1984"/>
      <c r="F41" s="1993"/>
      <c r="J41" s="1050"/>
    </row>
    <row r="42" spans="1:18" ht="15" thickBot="1">
      <c r="A42" s="1987" t="s">
        <v>911</v>
      </c>
      <c r="B42" s="1988">
        <f>+SUM(B37:B41)</f>
        <v>1072.0498</v>
      </c>
      <c r="C42" s="1988">
        <f t="shared" ref="C42:F42" si="8">+SUM(C37:C41)</f>
        <v>392.42251689999995</v>
      </c>
      <c r="D42" s="1988">
        <f t="shared" si="8"/>
        <v>0</v>
      </c>
      <c r="E42" s="1988">
        <f t="shared" si="8"/>
        <v>0</v>
      </c>
      <c r="F42" s="1994">
        <f t="shared" si="8"/>
        <v>1464.4723168999999</v>
      </c>
      <c r="J42" s="1050"/>
    </row>
    <row r="43" spans="1:18">
      <c r="A43" s="1049"/>
      <c r="B43" s="136"/>
      <c r="C43" s="136"/>
      <c r="D43" s="136"/>
      <c r="E43" s="136"/>
      <c r="F43" s="136"/>
      <c r="J43" s="1050"/>
    </row>
    <row r="44" spans="1:18">
      <c r="A44" s="1049"/>
      <c r="B44" s="136"/>
      <c r="C44" s="136"/>
      <c r="D44" s="136"/>
      <c r="E44" s="136"/>
      <c r="F44" s="136"/>
      <c r="J44" s="1050"/>
      <c r="L44" t="s">
        <v>1235</v>
      </c>
      <c r="M44" t="s">
        <v>2768</v>
      </c>
    </row>
    <row r="45" spans="1:18">
      <c r="A45" s="1962" t="s">
        <v>2377</v>
      </c>
      <c r="B45" s="136"/>
      <c r="C45" s="136"/>
      <c r="D45" s="136"/>
      <c r="E45" s="136"/>
      <c r="F45" s="136"/>
      <c r="J45" s="1050"/>
      <c r="K45" t="s">
        <v>460</v>
      </c>
      <c r="L45" s="504">
        <f>1374004-M45</f>
        <v>663004</v>
      </c>
      <c r="M45" s="504">
        <v>711000</v>
      </c>
    </row>
    <row r="46" spans="1:18" ht="15" thickBot="1">
      <c r="A46" s="1049"/>
      <c r="B46" s="136"/>
      <c r="C46" s="136"/>
      <c r="D46" s="136"/>
      <c r="E46" s="136"/>
      <c r="F46" s="136"/>
      <c r="J46" s="1050"/>
      <c r="K46" t="s">
        <v>462</v>
      </c>
      <c r="L46" s="504">
        <f>198800-M46</f>
        <v>45750</v>
      </c>
      <c r="M46" s="504">
        <v>153050</v>
      </c>
    </row>
    <row r="47" spans="1:18">
      <c r="A47" s="2355" t="s">
        <v>1233</v>
      </c>
      <c r="B47" s="2359" t="s">
        <v>1234</v>
      </c>
      <c r="C47" s="2359"/>
      <c r="D47" s="2359"/>
      <c r="E47" s="2359"/>
      <c r="F47" s="2360"/>
      <c r="J47" s="1050"/>
      <c r="K47" t="s">
        <v>463</v>
      </c>
      <c r="L47" s="504">
        <f>9930454-M47</f>
        <v>7860196</v>
      </c>
      <c r="M47" s="504">
        <v>2070258</v>
      </c>
    </row>
    <row r="48" spans="1:18">
      <c r="A48" s="2356"/>
      <c r="B48" s="1985" t="s">
        <v>1235</v>
      </c>
      <c r="C48" s="1985" t="s">
        <v>1236</v>
      </c>
      <c r="D48" s="1985" t="s">
        <v>1237</v>
      </c>
      <c r="E48" s="1985" t="s">
        <v>1238</v>
      </c>
      <c r="F48" s="1995" t="s">
        <v>911</v>
      </c>
      <c r="J48" s="1050"/>
      <c r="K48" t="s">
        <v>464</v>
      </c>
      <c r="L48" s="504">
        <f>491595-M48</f>
        <v>464592</v>
      </c>
      <c r="M48" s="504">
        <v>27003</v>
      </c>
    </row>
    <row r="49" spans="1:13">
      <c r="A49" s="1982" t="s">
        <v>1239</v>
      </c>
      <c r="B49" s="1986"/>
      <c r="C49" s="1986"/>
      <c r="D49" s="1986"/>
      <c r="E49" s="1986"/>
      <c r="F49" s="1996"/>
      <c r="J49" s="1050"/>
      <c r="K49" t="s">
        <v>513</v>
      </c>
      <c r="L49" s="504">
        <v>6416446.9100000001</v>
      </c>
      <c r="M49" s="504">
        <v>0</v>
      </c>
    </row>
    <row r="50" spans="1:13">
      <c r="A50" s="1982"/>
      <c r="B50" s="1986"/>
      <c r="C50" s="1986"/>
      <c r="D50" s="1986"/>
      <c r="E50" s="1986"/>
      <c r="F50" s="1996"/>
      <c r="J50" s="1050"/>
      <c r="K50" t="s">
        <v>487</v>
      </c>
      <c r="L50" s="12">
        <f>26642149.92-M50</f>
        <v>22526626.920000002</v>
      </c>
      <c r="M50" s="504">
        <v>4115523</v>
      </c>
    </row>
    <row r="51" spans="1:13">
      <c r="A51" s="1983" t="s">
        <v>3149</v>
      </c>
      <c r="B51" s="1984">
        <f>+Depreciation!B51/$K$1</f>
        <v>392.42251689999995</v>
      </c>
      <c r="C51" s="1984">
        <f>+Depreciation!C51/$K$1</f>
        <v>0</v>
      </c>
      <c r="D51" s="1984">
        <v>0</v>
      </c>
      <c r="E51" s="1984">
        <v>0</v>
      </c>
      <c r="F51" s="1993">
        <f>+SUM(B51:E51)</f>
        <v>392.42251689999995</v>
      </c>
      <c r="J51" s="1050"/>
      <c r="K51" t="s">
        <v>2765</v>
      </c>
      <c r="L51">
        <v>300000</v>
      </c>
      <c r="M51" s="504">
        <v>0</v>
      </c>
    </row>
    <row r="52" spans="1:13">
      <c r="A52" s="1983"/>
      <c r="B52" s="1984"/>
      <c r="C52" s="1984"/>
      <c r="D52" s="1984"/>
      <c r="E52" s="1984"/>
      <c r="F52" s="1993"/>
      <c r="J52" s="1050"/>
      <c r="K52" t="s">
        <v>514</v>
      </c>
      <c r="L52" s="12">
        <f>83604790.78-M52</f>
        <v>68162084.870000005</v>
      </c>
      <c r="M52" s="504">
        <v>15442705.91</v>
      </c>
    </row>
    <row r="53" spans="1:13">
      <c r="A53" s="1983" t="s">
        <v>1240</v>
      </c>
      <c r="B53" s="1984">
        <f>1138497.31/K1</f>
        <v>11.3849731</v>
      </c>
      <c r="C53" s="1984">
        <v>0</v>
      </c>
      <c r="D53" s="1984">
        <v>0</v>
      </c>
      <c r="E53" s="1984">
        <v>0</v>
      </c>
      <c r="F53" s="1993">
        <f>+SUM(B53:E53)</f>
        <v>11.3849731</v>
      </c>
      <c r="J53" s="1050"/>
      <c r="K53" t="s">
        <v>2769</v>
      </c>
      <c r="L53" s="12">
        <f>17362000-M53</f>
        <v>639287</v>
      </c>
      <c r="M53" s="504">
        <v>16722713</v>
      </c>
    </row>
    <row r="54" spans="1:13">
      <c r="A54" s="1983"/>
      <c r="B54" s="1984"/>
      <c r="C54" s="1984"/>
      <c r="D54" s="1984"/>
      <c r="E54" s="1984"/>
      <c r="F54" s="1993"/>
      <c r="J54" s="1050"/>
      <c r="L54" s="671">
        <f>+SUM(L45:L53)</f>
        <v>107077987.7</v>
      </c>
      <c r="M54" s="671">
        <f>+SUM(M45:M53)</f>
        <v>39242252.909999996</v>
      </c>
    </row>
    <row r="55" spans="1:13" ht="15" thickBot="1">
      <c r="A55" s="1987" t="s">
        <v>911</v>
      </c>
      <c r="B55" s="1988">
        <f>+SUM(B50:B54)</f>
        <v>403.80748999999997</v>
      </c>
      <c r="C55" s="1988">
        <f t="shared" ref="C55:F55" si="9">+SUM(C50:C54)</f>
        <v>0</v>
      </c>
      <c r="D55" s="1988">
        <f t="shared" si="9"/>
        <v>0</v>
      </c>
      <c r="E55" s="1988">
        <f t="shared" si="9"/>
        <v>0</v>
      </c>
      <c r="F55" s="1994">
        <f t="shared" si="9"/>
        <v>403.80748999999997</v>
      </c>
      <c r="G55" s="1049"/>
      <c r="J55" s="1050"/>
    </row>
    <row r="56" spans="1:13" ht="15" thickBot="1">
      <c r="A56" s="1997"/>
      <c r="B56" s="1989"/>
      <c r="C56" s="1989"/>
      <c r="D56" s="1989"/>
      <c r="E56" s="1989"/>
      <c r="F56" s="1989"/>
      <c r="G56" s="1989"/>
      <c r="H56" s="1989"/>
      <c r="I56" s="1989"/>
      <c r="J56" s="1990"/>
    </row>
    <row r="57" spans="1:13">
      <c r="J57" s="630">
        <f>+J70-BSPL!G8</f>
        <v>14519268.334518701</v>
      </c>
    </row>
    <row r="58" spans="1:13" ht="15" thickBot="1"/>
    <row r="59" spans="1:13" ht="16.2" thickBot="1">
      <c r="A59" s="1034"/>
      <c r="B59" s="2345" t="s">
        <v>1258</v>
      </c>
      <c r="C59" s="2345"/>
      <c r="D59" s="2345"/>
      <c r="E59" s="2345"/>
      <c r="F59" s="2345"/>
      <c r="G59" s="2345"/>
      <c r="H59" s="2345"/>
      <c r="I59" s="2345"/>
      <c r="J59" s="2345"/>
      <c r="K59" s="2346"/>
    </row>
    <row r="60" spans="1:13" ht="15.6">
      <c r="A60" s="2347"/>
      <c r="B60" s="2349" t="s">
        <v>1242</v>
      </c>
      <c r="C60" s="2350"/>
      <c r="D60" s="2350"/>
      <c r="E60" s="2351"/>
      <c r="F60" s="2352" t="s">
        <v>144</v>
      </c>
      <c r="G60" s="2353"/>
      <c r="H60" s="2354"/>
      <c r="I60" s="2353"/>
      <c r="J60" s="1035">
        <v>44652</v>
      </c>
      <c r="K60" s="1036">
        <v>45016</v>
      </c>
    </row>
    <row r="61" spans="1:13" ht="47.4" thickBot="1">
      <c r="A61" s="2348"/>
      <c r="B61" s="1037">
        <v>44652</v>
      </c>
      <c r="C61" s="1038" t="s">
        <v>1259</v>
      </c>
      <c r="D61" s="1039" t="s">
        <v>1260</v>
      </c>
      <c r="E61" s="1037">
        <v>45016</v>
      </c>
      <c r="F61" s="1040" t="s">
        <v>1261</v>
      </c>
      <c r="G61" s="1039" t="s">
        <v>1246</v>
      </c>
      <c r="H61" s="1041" t="s">
        <v>1247</v>
      </c>
      <c r="I61" s="1040" t="s">
        <v>1248</v>
      </c>
      <c r="J61" s="1042" t="s">
        <v>1249</v>
      </c>
      <c r="K61" s="1043" t="s">
        <v>1249</v>
      </c>
    </row>
    <row r="62" spans="1:13">
      <c r="A62" s="1044" t="s">
        <v>1250</v>
      </c>
      <c r="B62" s="153">
        <f>+E86</f>
        <v>33964999.899999999</v>
      </c>
      <c r="C62" s="154">
        <f>+'[80]Summary 2022-23'!C4</f>
        <v>0</v>
      </c>
      <c r="D62" s="154">
        <v>0</v>
      </c>
      <c r="E62" s="154">
        <f>+B62+C62-D62</f>
        <v>33964999.899999999</v>
      </c>
      <c r="F62" s="154">
        <f>+I86</f>
        <v>0</v>
      </c>
      <c r="G62" s="154">
        <f>+'[80]Summary 2022-23'!G4</f>
        <v>0</v>
      </c>
      <c r="H62" s="154">
        <v>0</v>
      </c>
      <c r="I62" s="154">
        <f>+F62+G62-H62</f>
        <v>0</v>
      </c>
      <c r="J62" s="154">
        <f>+B62-F62</f>
        <v>33964999.899999999</v>
      </c>
      <c r="K62" s="155">
        <f>+E62-I62</f>
        <v>33964999.899999999</v>
      </c>
      <c r="M62">
        <f>899004-236000</f>
        <v>663004</v>
      </c>
    </row>
    <row r="63" spans="1:13">
      <c r="A63" s="1045" t="s">
        <v>1221</v>
      </c>
      <c r="B63" s="153">
        <f t="shared" ref="B63:B69" si="10">+E87</f>
        <v>61286378.519999996</v>
      </c>
      <c r="C63" s="154">
        <f>+'[80]Summary 2022-23'!C5</f>
        <v>2830332</v>
      </c>
      <c r="D63" s="154">
        <v>0</v>
      </c>
      <c r="E63" s="154">
        <f t="shared" ref="E63:E69" si="11">+B63+C63-D63</f>
        <v>64116710.519999996</v>
      </c>
      <c r="F63" s="154">
        <f t="shared" ref="F63:F69" si="12">+I87</f>
        <v>7440220.4707179461</v>
      </c>
      <c r="G63" s="154">
        <f>+ROUND('[80]Summary 2022-23'!G5,0)</f>
        <v>1989109</v>
      </c>
      <c r="H63" s="154">
        <v>0</v>
      </c>
      <c r="I63" s="154">
        <f t="shared" ref="I63:I69" si="13">+F63+G63-H63</f>
        <v>9429329.4707179461</v>
      </c>
      <c r="J63" s="154">
        <f t="shared" ref="J63:J69" si="14">+B63-F63</f>
        <v>53846158.049282052</v>
      </c>
      <c r="K63" s="155">
        <f t="shared" ref="K63:K69" si="15">+E63-I63</f>
        <v>54687381.049282052</v>
      </c>
      <c r="M63">
        <v>45750</v>
      </c>
    </row>
    <row r="64" spans="1:13">
      <c r="A64" s="1045" t="s">
        <v>302</v>
      </c>
      <c r="B64" s="153">
        <f t="shared" si="10"/>
        <v>222104413.368</v>
      </c>
      <c r="C64" s="154">
        <f>+'[80]Summary 2022-23'!C6</f>
        <v>63178</v>
      </c>
      <c r="D64" s="154">
        <v>0</v>
      </c>
      <c r="E64" s="154">
        <f t="shared" si="11"/>
        <v>222167591.368</v>
      </c>
      <c r="F64" s="154">
        <f t="shared" si="12"/>
        <v>113124942.46722932</v>
      </c>
      <c r="G64" s="154">
        <f>ROUND(+'[80]Summary 2022-23'!G6,0)</f>
        <v>13650885</v>
      </c>
      <c r="H64" s="154">
        <v>0</v>
      </c>
      <c r="I64" s="154">
        <f t="shared" si="13"/>
        <v>126775827.46722932</v>
      </c>
      <c r="J64" s="154">
        <f t="shared" si="14"/>
        <v>108979470.90077068</v>
      </c>
      <c r="K64" s="155">
        <f t="shared" si="15"/>
        <v>95391763.900770679</v>
      </c>
      <c r="M64">
        <v>7860196</v>
      </c>
    </row>
    <row r="65" spans="1:14">
      <c r="A65" s="1045" t="s">
        <v>1222</v>
      </c>
      <c r="B65" s="153">
        <f t="shared" si="10"/>
        <v>2991111</v>
      </c>
      <c r="C65" s="154">
        <f>+'[80]Summary 2022-23'!C7</f>
        <v>0</v>
      </c>
      <c r="D65" s="154">
        <v>0</v>
      </c>
      <c r="E65" s="154">
        <f t="shared" si="11"/>
        <v>2991111</v>
      </c>
      <c r="F65" s="154">
        <f t="shared" si="12"/>
        <v>927868.80226313532</v>
      </c>
      <c r="G65" s="154">
        <f>+ROUND('[80]Summary 2022-23'!G7,0)</f>
        <v>369149</v>
      </c>
      <c r="H65" s="154">
        <v>0</v>
      </c>
      <c r="I65" s="154">
        <f t="shared" si="13"/>
        <v>1297017.8022631353</v>
      </c>
      <c r="J65" s="154">
        <f t="shared" si="14"/>
        <v>2063242.1977368647</v>
      </c>
      <c r="K65" s="155">
        <f t="shared" si="15"/>
        <v>1694093.1977368647</v>
      </c>
      <c r="M65">
        <v>464592</v>
      </c>
    </row>
    <row r="66" spans="1:14">
      <c r="A66" s="1045" t="s">
        <v>1223</v>
      </c>
      <c r="B66" s="153">
        <f t="shared" si="10"/>
        <v>868635.45771976002</v>
      </c>
      <c r="C66" s="154">
        <f>+'[80]Summary 2022-23'!C8</f>
        <v>29800</v>
      </c>
      <c r="D66" s="154">
        <v>0</v>
      </c>
      <c r="E66" s="154">
        <f t="shared" si="11"/>
        <v>898435.45771976002</v>
      </c>
      <c r="F66" s="154">
        <f t="shared" si="12"/>
        <v>730456.24351598183</v>
      </c>
      <c r="G66" s="154">
        <f>+ROUND('[80]Summary 2022-23'!G8,0)</f>
        <v>45170</v>
      </c>
      <c r="H66" s="154">
        <v>0</v>
      </c>
      <c r="I66" s="154">
        <f t="shared" si="13"/>
        <v>775626.24351598183</v>
      </c>
      <c r="J66" s="154">
        <f t="shared" si="14"/>
        <v>138179.21420377819</v>
      </c>
      <c r="K66" s="155">
        <f t="shared" si="15"/>
        <v>122809.21420377819</v>
      </c>
      <c r="M66">
        <v>8108281.5999999996</v>
      </c>
      <c r="N66">
        <v>-2830332</v>
      </c>
    </row>
    <row r="67" spans="1:14">
      <c r="A67" s="1045" t="s">
        <v>1224</v>
      </c>
      <c r="B67" s="153">
        <f t="shared" si="10"/>
        <v>1123743.1299999999</v>
      </c>
      <c r="C67" s="154">
        <f>+'[80]Summary 2022-23'!C9</f>
        <v>0</v>
      </c>
      <c r="D67" s="154">
        <v>0</v>
      </c>
      <c r="E67" s="154">
        <f t="shared" si="11"/>
        <v>1123743.1299999999</v>
      </c>
      <c r="F67" s="154">
        <f t="shared" si="12"/>
        <v>712522.74323580915</v>
      </c>
      <c r="G67" s="154">
        <f>+ROUND('[80]Summary 2022-23'!G9,0)</f>
        <v>114072</v>
      </c>
      <c r="H67" s="154">
        <v>0</v>
      </c>
      <c r="I67" s="154">
        <f t="shared" si="13"/>
        <v>826594.74323580915</v>
      </c>
      <c r="J67" s="154">
        <f t="shared" si="14"/>
        <v>411220.38676419074</v>
      </c>
      <c r="K67" s="155">
        <f t="shared" si="15"/>
        <v>297148.38676419074</v>
      </c>
      <c r="M67">
        <v>22526626.920000002</v>
      </c>
    </row>
    <row r="68" spans="1:14">
      <c r="A68" s="1045" t="s">
        <v>1225</v>
      </c>
      <c r="B68" s="153">
        <f t="shared" si="10"/>
        <v>1344197.03</v>
      </c>
      <c r="C68" s="154">
        <f>+'[80]Summary 2022-23'!C10</f>
        <v>540632</v>
      </c>
      <c r="D68" s="154">
        <v>0</v>
      </c>
      <c r="E68" s="154">
        <f t="shared" si="11"/>
        <v>1884829.03</v>
      </c>
      <c r="F68" s="154">
        <f t="shared" si="12"/>
        <v>1062733.5912144694</v>
      </c>
      <c r="G68" s="154">
        <f>+ROUND('[80]Summary 2022-23'!G10,0)</f>
        <v>56194</v>
      </c>
      <c r="H68" s="154">
        <v>0</v>
      </c>
      <c r="I68" s="154">
        <f t="shared" si="13"/>
        <v>1118927.5912144694</v>
      </c>
      <c r="J68" s="154">
        <f t="shared" si="14"/>
        <v>281463.43878553063</v>
      </c>
      <c r="K68" s="155">
        <f t="shared" si="15"/>
        <v>765901.43878553063</v>
      </c>
      <c r="M68">
        <v>300000</v>
      </c>
    </row>
    <row r="69" spans="1:14" ht="15" thickBot="1">
      <c r="A69" s="1046" t="s">
        <v>1226</v>
      </c>
      <c r="B69" s="153">
        <f t="shared" si="10"/>
        <v>26458588.080000002</v>
      </c>
      <c r="C69" s="154">
        <f>+'[80]Summary 2022-23'!C11</f>
        <v>98460</v>
      </c>
      <c r="D69" s="154">
        <v>0</v>
      </c>
      <c r="E69" s="154">
        <f t="shared" si="11"/>
        <v>26557048.080000002</v>
      </c>
      <c r="F69" s="154">
        <f t="shared" si="12"/>
        <v>18195793.502604451</v>
      </c>
      <c r="G69" s="154">
        <f>+ROUND('[80]Summary 2022-23'!G11,0)</f>
        <v>1857088</v>
      </c>
      <c r="H69" s="154">
        <v>0</v>
      </c>
      <c r="I69" s="154">
        <f t="shared" si="13"/>
        <v>20052881.502604451</v>
      </c>
      <c r="J69" s="154">
        <f t="shared" si="14"/>
        <v>8262794.5773955509</v>
      </c>
      <c r="K69" s="155">
        <f t="shared" si="15"/>
        <v>6504166.5773955509</v>
      </c>
      <c r="M69">
        <f>68406176.87-117100</f>
        <v>68289076.870000005</v>
      </c>
    </row>
    <row r="70" spans="1:14" ht="16.2" thickBot="1">
      <c r="A70" s="1047" t="s">
        <v>1251</v>
      </c>
      <c r="B70" s="1048">
        <f>SUM(B62:B69)</f>
        <v>350142066.48571968</v>
      </c>
      <c r="C70" s="1048">
        <f>SUM(C62:C69)</f>
        <v>3562402</v>
      </c>
      <c r="D70" s="1048">
        <v>0</v>
      </c>
      <c r="E70" s="1048">
        <f>SUM(E62:E69)</f>
        <v>353704468.48571968</v>
      </c>
      <c r="F70" s="1048">
        <f>SUM(F62:F69)</f>
        <v>142194537.82078111</v>
      </c>
      <c r="G70" s="1048">
        <f>SUM(G62:G69)</f>
        <v>18081667</v>
      </c>
      <c r="H70" s="1048">
        <v>0</v>
      </c>
      <c r="I70" s="1048">
        <f>SUM(I62:I69)</f>
        <v>160276204.82078111</v>
      </c>
      <c r="J70" s="1048">
        <f>SUM(J62:J69)</f>
        <v>207947528.66493863</v>
      </c>
      <c r="K70" s="1048">
        <f>SUM(K62:K69)</f>
        <v>193428263.66493863</v>
      </c>
      <c r="M70">
        <f>7700000-7060713</f>
        <v>639287</v>
      </c>
    </row>
    <row r="71" spans="1:14" ht="15" thickBot="1">
      <c r="A71" s="1049"/>
      <c r="B71" s="160"/>
      <c r="K71" s="1050"/>
      <c r="M71">
        <f>+SUM(M62:M70)</f>
        <v>108896814.39000002</v>
      </c>
    </row>
    <row r="72" spans="1:14" ht="15" thickBot="1">
      <c r="A72" s="1051" t="s">
        <v>461</v>
      </c>
      <c r="B72" s="1052"/>
      <c r="C72" s="1052"/>
      <c r="D72" s="1052"/>
      <c r="E72" s="1052"/>
      <c r="F72" s="1052"/>
      <c r="G72" s="1052"/>
      <c r="H72" s="1052"/>
      <c r="I72" s="1052"/>
      <c r="J72" s="1052"/>
      <c r="K72" s="1053"/>
      <c r="M72">
        <f>+M71-M66</f>
        <v>100788532.79000002</v>
      </c>
    </row>
    <row r="73" spans="1:14">
      <c r="A73" s="1054" t="s">
        <v>1252</v>
      </c>
      <c r="B73" s="1055">
        <f>+E97</f>
        <v>1138496.9099999997</v>
      </c>
      <c r="C73" s="1145">
        <f>8108281.6</f>
        <v>8108281.5999999996</v>
      </c>
      <c r="D73" s="1146">
        <f>+C63</f>
        <v>2830332</v>
      </c>
      <c r="E73" s="1145">
        <f>B73+C73-D73</f>
        <v>6416446.5099999998</v>
      </c>
      <c r="F73" s="154">
        <v>0</v>
      </c>
      <c r="G73" s="154">
        <v>0</v>
      </c>
      <c r="H73" s="154">
        <v>0</v>
      </c>
      <c r="I73" s="154">
        <v>0</v>
      </c>
      <c r="J73" s="1056">
        <f>+B73</f>
        <v>1138496.9099999997</v>
      </c>
      <c r="K73" s="1056">
        <f>E73</f>
        <v>6416446.5099999998</v>
      </c>
    </row>
    <row r="74" spans="1:14" ht="15" thickBot="1">
      <c r="A74" s="1057" t="s">
        <v>1253</v>
      </c>
      <c r="B74" s="1055">
        <f>+E98</f>
        <v>39242252.449999996</v>
      </c>
      <c r="C74" s="1145">
        <f>+M72</f>
        <v>100788532.79000002</v>
      </c>
      <c r="D74" s="1146">
        <v>0</v>
      </c>
      <c r="E74" s="1145">
        <f>B74+C74-D74</f>
        <v>140030785.24000001</v>
      </c>
      <c r="F74" s="154">
        <v>0</v>
      </c>
      <c r="G74" s="154">
        <v>0</v>
      </c>
      <c r="H74" s="154">
        <v>0</v>
      </c>
      <c r="I74" s="154">
        <v>0</v>
      </c>
      <c r="J74" s="1058">
        <f>B74</f>
        <v>39242252.449999996</v>
      </c>
      <c r="K74" s="1056">
        <f>E74</f>
        <v>140030785.24000001</v>
      </c>
    </row>
    <row r="75" spans="1:14" ht="16.2" thickBot="1">
      <c r="A75" s="1059" t="s">
        <v>1251</v>
      </c>
      <c r="B75" s="1060">
        <f>SUM(B73:B74)</f>
        <v>40380749.359999992</v>
      </c>
      <c r="C75" s="1048">
        <f t="shared" ref="C75:D75" si="16">SUM(C73:C74)</f>
        <v>108896814.39000002</v>
      </c>
      <c r="D75" s="1048">
        <f t="shared" si="16"/>
        <v>2830332</v>
      </c>
      <c r="E75" s="1048">
        <f>SUM(E73:E74)</f>
        <v>146447231.75</v>
      </c>
      <c r="F75" s="1048">
        <f t="shared" ref="F75:K75" si="17">SUM(F73:F74)</f>
        <v>0</v>
      </c>
      <c r="G75" s="1048">
        <f t="shared" si="17"/>
        <v>0</v>
      </c>
      <c r="H75" s="1048">
        <f t="shared" si="17"/>
        <v>0</v>
      </c>
      <c r="I75" s="1048">
        <f t="shared" si="17"/>
        <v>0</v>
      </c>
      <c r="J75" s="1048">
        <f t="shared" si="17"/>
        <v>40380749.359999992</v>
      </c>
      <c r="K75" s="1061">
        <f t="shared" si="17"/>
        <v>146447231.75</v>
      </c>
    </row>
    <row r="76" spans="1:14" ht="15" thickBot="1">
      <c r="A76" s="1062"/>
      <c r="K76" s="1050"/>
    </row>
    <row r="77" spans="1:14" ht="16.2" thickBot="1">
      <c r="A77" s="1059" t="s">
        <v>911</v>
      </c>
      <c r="B77" s="1060">
        <f>B70+B75</f>
        <v>390522815.8457197</v>
      </c>
      <c r="C77" s="1048">
        <f t="shared" ref="C77:D77" si="18">C70+C75</f>
        <v>112459216.39000002</v>
      </c>
      <c r="D77" s="1048">
        <f t="shared" si="18"/>
        <v>2830332</v>
      </c>
      <c r="E77" s="1048">
        <f>E70+E75</f>
        <v>500151700.23571968</v>
      </c>
      <c r="F77" s="1048">
        <f t="shared" ref="F77:K77" si="19">F70+F75</f>
        <v>142194537.82078111</v>
      </c>
      <c r="G77" s="1048">
        <f t="shared" si="19"/>
        <v>18081667</v>
      </c>
      <c r="H77" s="1048">
        <f t="shared" si="19"/>
        <v>0</v>
      </c>
      <c r="I77" s="1048">
        <f t="shared" si="19"/>
        <v>160276204.82078111</v>
      </c>
      <c r="J77" s="1048">
        <f t="shared" si="19"/>
        <v>248328278.02493861</v>
      </c>
      <c r="K77" s="1061">
        <f t="shared" si="19"/>
        <v>339875495.41493863</v>
      </c>
    </row>
    <row r="82" spans="1:11" ht="15" thickBot="1"/>
    <row r="83" spans="1:11" ht="16.2" thickBot="1">
      <c r="A83" s="1034"/>
      <c r="B83" s="2345" t="s">
        <v>1241</v>
      </c>
      <c r="C83" s="2345"/>
      <c r="D83" s="2345"/>
      <c r="E83" s="2345"/>
      <c r="F83" s="2345"/>
      <c r="G83" s="2345"/>
      <c r="H83" s="2345"/>
      <c r="I83" s="2345"/>
      <c r="J83" s="2345"/>
      <c r="K83" s="2346"/>
    </row>
    <row r="84" spans="1:11" ht="15.6">
      <c r="A84" s="2347"/>
      <c r="B84" s="2349" t="s">
        <v>1242</v>
      </c>
      <c r="C84" s="2350"/>
      <c r="D84" s="2350"/>
      <c r="E84" s="2351"/>
      <c r="F84" s="2352" t="s">
        <v>144</v>
      </c>
      <c r="G84" s="2353"/>
      <c r="H84" s="2354"/>
      <c r="I84" s="2353"/>
      <c r="J84" s="1035">
        <v>44287</v>
      </c>
      <c r="K84" s="1036">
        <v>44651</v>
      </c>
    </row>
    <row r="85" spans="1:11" ht="47.4" thickBot="1">
      <c r="A85" s="2348"/>
      <c r="B85" s="1037">
        <v>44287</v>
      </c>
      <c r="C85" s="1038" t="s">
        <v>1243</v>
      </c>
      <c r="D85" s="1039" t="s">
        <v>1244</v>
      </c>
      <c r="E85" s="1037">
        <v>44651</v>
      </c>
      <c r="F85" s="1040" t="s">
        <v>1245</v>
      </c>
      <c r="G85" s="1039" t="s">
        <v>1246</v>
      </c>
      <c r="H85" s="1041" t="s">
        <v>1247</v>
      </c>
      <c r="I85" s="1040" t="s">
        <v>1248</v>
      </c>
      <c r="J85" s="1042" t="s">
        <v>1249</v>
      </c>
      <c r="K85" s="1043" t="s">
        <v>1249</v>
      </c>
    </row>
    <row r="86" spans="1:11">
      <c r="A86" s="1044" t="s">
        <v>1250</v>
      </c>
      <c r="B86" s="153">
        <f>+'[81]Summary-20-21'!E4</f>
        <v>33964999.899999999</v>
      </c>
      <c r="C86" s="154">
        <f>+'[81]Summary 2021-22'!C4</f>
        <v>0</v>
      </c>
      <c r="D86" s="154">
        <f>+'[81]Summary 2021-22'!D4</f>
        <v>0</v>
      </c>
      <c r="E86" s="154">
        <f>B86+C86-D86</f>
        <v>33964999.899999999</v>
      </c>
      <c r="F86" s="154">
        <f>+'[81]Summary-20-21'!I4</f>
        <v>0</v>
      </c>
      <c r="G86" s="154">
        <f>+'[81]Summary 2021-22'!G4</f>
        <v>0</v>
      </c>
      <c r="H86" s="154">
        <v>0</v>
      </c>
      <c r="I86" s="154">
        <v>0</v>
      </c>
      <c r="J86" s="154">
        <f>B86-F86</f>
        <v>33964999.899999999</v>
      </c>
      <c r="K86" s="155">
        <f t="shared" ref="K86:K93" si="20">E86-I86</f>
        <v>33964999.899999999</v>
      </c>
    </row>
    <row r="87" spans="1:11">
      <c r="A87" s="1045" t="s">
        <v>1221</v>
      </c>
      <c r="B87" s="153">
        <f>+'[81]Summary-20-21'!E5</f>
        <v>58923230.529999994</v>
      </c>
      <c r="C87" s="154">
        <f>+'[81]Summary 2021-22'!C5</f>
        <v>2363147.9900000002</v>
      </c>
      <c r="D87" s="154">
        <f>+'[81]Summary 2021-22'!D5</f>
        <v>0</v>
      </c>
      <c r="E87" s="156">
        <f>B87+C87-D87</f>
        <v>61286378.519999996</v>
      </c>
      <c r="F87" s="154">
        <f>+'[81]Summary-20-21'!I5</f>
        <v>5534893.9886987675</v>
      </c>
      <c r="G87" s="154">
        <f>+'[81]Summary 2021-22'!G5</f>
        <v>1905326.4820191783</v>
      </c>
      <c r="H87" s="154">
        <f>+'[81]Summary 2021-22'!H5</f>
        <v>0</v>
      </c>
      <c r="I87" s="156">
        <f t="shared" ref="I87:I93" si="21">F87+G87-H87</f>
        <v>7440220.4707179461</v>
      </c>
      <c r="J87" s="156">
        <f t="shared" ref="J87:J93" si="22">B87-F87</f>
        <v>53388336.541301228</v>
      </c>
      <c r="K87" s="157">
        <f t="shared" si="20"/>
        <v>53846158.049282052</v>
      </c>
    </row>
    <row r="88" spans="1:11">
      <c r="A88" s="1045" t="s">
        <v>302</v>
      </c>
      <c r="B88" s="153">
        <f>+'[81]Summary-20-21'!E6</f>
        <v>215300342.50799999</v>
      </c>
      <c r="C88" s="154">
        <f>+'[81]Summary 2021-22'!C6-1</f>
        <v>6804070.8600000003</v>
      </c>
      <c r="D88" s="154">
        <f>+'[81]Summary 2021-22'!D6</f>
        <v>0</v>
      </c>
      <c r="E88" s="156">
        <f>B88+C88-D88</f>
        <v>222104413.368</v>
      </c>
      <c r="F88" s="154">
        <f>+'[81]Summary-20-21'!I6</f>
        <v>99496168.438061088</v>
      </c>
      <c r="G88" s="154">
        <f>+'[81]Summary 2021-22'!G6</f>
        <v>13628774.029168235</v>
      </c>
      <c r="H88" s="154">
        <f>+'[81]Summary 2021-22'!H6</f>
        <v>0</v>
      </c>
      <c r="I88" s="156">
        <f>F88+G88-H88</f>
        <v>113124942.46722932</v>
      </c>
      <c r="J88" s="156">
        <f t="shared" si="22"/>
        <v>115804174.0699389</v>
      </c>
      <c r="K88" s="157">
        <f t="shared" si="20"/>
        <v>108979470.90077068</v>
      </c>
    </row>
    <row r="89" spans="1:11">
      <c r="A89" s="1045" t="s">
        <v>1222</v>
      </c>
      <c r="B89" s="153">
        <f>+'[81]Summary-20-21'!E7</f>
        <v>2991111</v>
      </c>
      <c r="C89" s="154">
        <f>+'[81]Summary 2021-22'!C7</f>
        <v>0</v>
      </c>
      <c r="D89" s="154">
        <f>+'[81]Summary 2021-22'!D7</f>
        <v>0</v>
      </c>
      <c r="E89" s="156">
        <f t="shared" ref="E89:E92" si="23">B89+C89-D89</f>
        <v>2991111</v>
      </c>
      <c r="F89" s="154">
        <f>+'[81]Summary-20-21'!I7</f>
        <v>558719.83806600736</v>
      </c>
      <c r="G89" s="154">
        <f>+'[81]Summary 2021-22'!G7</f>
        <v>369148.96419712796</v>
      </c>
      <c r="H89" s="154">
        <f>+'[81]Summary 2021-22'!H7</f>
        <v>0</v>
      </c>
      <c r="I89" s="156">
        <f t="shared" si="21"/>
        <v>927868.80226313532</v>
      </c>
      <c r="J89" s="156">
        <f t="shared" si="22"/>
        <v>2432391.1619339925</v>
      </c>
      <c r="K89" s="157">
        <f t="shared" si="20"/>
        <v>2063242.1977368647</v>
      </c>
    </row>
    <row r="90" spans="1:11">
      <c r="A90" s="1045" t="s">
        <v>1223</v>
      </c>
      <c r="B90" s="153">
        <f>+'[81]Summary-20-21'!E8</f>
        <v>744525.7</v>
      </c>
      <c r="C90" s="154">
        <f>+'[81]Summary 2021-22'!C8-0.24228024</f>
        <v>124109.75771976</v>
      </c>
      <c r="D90" s="154">
        <f>+'[81]Summary 2021-22'!D8</f>
        <v>0</v>
      </c>
      <c r="E90" s="156">
        <f t="shared" si="23"/>
        <v>868635.45771976002</v>
      </c>
      <c r="F90" s="154">
        <f>+'[81]Summary-20-21'!I8</f>
        <v>688913.61548858462</v>
      </c>
      <c r="G90" s="154">
        <f>+'[81]Summary 2021-22'!G8</f>
        <v>41542.628027397266</v>
      </c>
      <c r="H90" s="154">
        <f>+'[81]Summary 2021-22'!H8</f>
        <v>0</v>
      </c>
      <c r="I90" s="156">
        <f t="shared" si="21"/>
        <v>730456.24351598183</v>
      </c>
      <c r="J90" s="156">
        <f t="shared" si="22"/>
        <v>55612.084511415334</v>
      </c>
      <c r="K90" s="157">
        <f t="shared" si="20"/>
        <v>138179.21420377819</v>
      </c>
    </row>
    <row r="91" spans="1:11">
      <c r="A91" s="1045" t="s">
        <v>1224</v>
      </c>
      <c r="B91" s="153">
        <f>+'[81]Summary-20-21'!E9</f>
        <v>1024059.5</v>
      </c>
      <c r="C91" s="154">
        <f>+'[81]Summary 2021-22'!C9</f>
        <v>99683.63</v>
      </c>
      <c r="D91" s="154">
        <f>+'[81]Summary 2021-22'!D9</f>
        <v>0</v>
      </c>
      <c r="E91" s="156">
        <f>B91+C91-D91</f>
        <v>1123743.1299999999</v>
      </c>
      <c r="F91" s="154">
        <f>+'[81]Summary-20-21'!I9</f>
        <v>598525.87082759</v>
      </c>
      <c r="G91" s="154">
        <f>+'[81]Summary 2021-22'!G9</f>
        <v>113996.87240821918</v>
      </c>
      <c r="H91" s="154">
        <f>+'[81]Summary 2021-22'!H9</f>
        <v>0</v>
      </c>
      <c r="I91" s="156">
        <f t="shared" si="21"/>
        <v>712522.74323580915</v>
      </c>
      <c r="J91" s="156">
        <f t="shared" si="22"/>
        <v>425533.62917241</v>
      </c>
      <c r="K91" s="157">
        <f t="shared" si="20"/>
        <v>411220.38676419074</v>
      </c>
    </row>
    <row r="92" spans="1:11">
      <c r="A92" s="1045" t="s">
        <v>1225</v>
      </c>
      <c r="B92" s="153">
        <f>+'[81]Summary-20-21'!E10</f>
        <v>1330214.03</v>
      </c>
      <c r="C92" s="154">
        <f>+'[81]Summary 2021-22'!C10</f>
        <v>13983</v>
      </c>
      <c r="D92" s="154">
        <f>+'[81]Summary 2021-22'!D10</f>
        <v>0</v>
      </c>
      <c r="E92" s="156">
        <f t="shared" si="23"/>
        <v>1344197.03</v>
      </c>
      <c r="F92" s="154">
        <f>+'[81]Summary-20-21'!I10</f>
        <v>1014017.3961523059</v>
      </c>
      <c r="G92" s="154">
        <f>+'[81]Summary 2021-22'!G10</f>
        <v>48716.19506216341</v>
      </c>
      <c r="H92" s="154">
        <f>+'[81]Summary 2021-22'!H10</f>
        <v>0</v>
      </c>
      <c r="I92" s="156">
        <f t="shared" si="21"/>
        <v>1062733.5912144694</v>
      </c>
      <c r="J92" s="156">
        <f t="shared" si="22"/>
        <v>316196.63384769415</v>
      </c>
      <c r="K92" s="157">
        <f t="shared" si="20"/>
        <v>281463.43878553063</v>
      </c>
    </row>
    <row r="93" spans="1:11" ht="15" thickBot="1">
      <c r="A93" s="1046" t="s">
        <v>1226</v>
      </c>
      <c r="B93" s="153">
        <f>+'[81]Summary-20-21'!E11</f>
        <v>26188108.080000002</v>
      </c>
      <c r="C93" s="154">
        <f>+'[81]Summary 2021-22'!C11</f>
        <v>270480</v>
      </c>
      <c r="D93" s="154">
        <f>+'[81]Summary 2021-22'!D11</f>
        <v>0</v>
      </c>
      <c r="E93" s="158">
        <f>B93+C93-D93</f>
        <v>26458588.080000002</v>
      </c>
      <c r="F93" s="154">
        <f>+'[81]Summary-20-21'!I11</f>
        <v>16345550.182161208</v>
      </c>
      <c r="G93" s="154">
        <f>+'[81]Summary 2021-22'!G11</f>
        <v>1850243.3204432426</v>
      </c>
      <c r="H93" s="154">
        <f>+'[81]Summary 2021-22'!H11</f>
        <v>0</v>
      </c>
      <c r="I93" s="158">
        <f t="shared" si="21"/>
        <v>18195793.502604451</v>
      </c>
      <c r="J93" s="158">
        <f t="shared" si="22"/>
        <v>9842557.8978387937</v>
      </c>
      <c r="K93" s="159">
        <f t="shared" si="20"/>
        <v>8262794.5773955509</v>
      </c>
    </row>
    <row r="94" spans="1:11" ht="16.2" thickBot="1">
      <c r="A94" s="1047" t="s">
        <v>1251</v>
      </c>
      <c r="B94" s="1048">
        <f>SUM(B86:B93)</f>
        <v>340466591.24799991</v>
      </c>
      <c r="C94" s="1048">
        <f t="shared" ref="C94:J94" si="24">SUM(C86:C93)</f>
        <v>9675475.2377197631</v>
      </c>
      <c r="D94" s="1048">
        <f t="shared" si="24"/>
        <v>0</v>
      </c>
      <c r="E94" s="1048">
        <f t="shared" si="24"/>
        <v>350142066.48571968</v>
      </c>
      <c r="F94" s="1048">
        <f t="shared" si="24"/>
        <v>124236789.32945555</v>
      </c>
      <c r="G94" s="1048">
        <f t="shared" si="24"/>
        <v>17957748.491325565</v>
      </c>
      <c r="H94" s="1048">
        <f t="shared" si="24"/>
        <v>0</v>
      </c>
      <c r="I94" s="1048">
        <f t="shared" si="24"/>
        <v>142194537.82078111</v>
      </c>
      <c r="J94" s="1048">
        <f t="shared" si="24"/>
        <v>216229801.91854444</v>
      </c>
      <c r="K94" s="1061">
        <f>SUM(K86:K93)</f>
        <v>207947528.66493863</v>
      </c>
    </row>
    <row r="95" spans="1:11" ht="15" thickBot="1">
      <c r="A95" s="1049"/>
      <c r="B95" s="160"/>
      <c r="K95" s="1050"/>
    </row>
    <row r="96" spans="1:11" ht="15" thickBot="1">
      <c r="A96" s="1051" t="s">
        <v>461</v>
      </c>
      <c r="B96" s="1052"/>
      <c r="C96" s="1052"/>
      <c r="D96" s="1052"/>
      <c r="E96" s="1052"/>
      <c r="F96" s="1052"/>
      <c r="G96" s="1052"/>
      <c r="H96" s="1052"/>
      <c r="I96" s="1052"/>
      <c r="J96" s="1052"/>
      <c r="K96" s="1053"/>
    </row>
    <row r="97" spans="1:11">
      <c r="A97" s="1054" t="s">
        <v>1252</v>
      </c>
      <c r="B97" s="1055">
        <f>+'[81]Summary-20-21'!E15</f>
        <v>133007.59999999963</v>
      </c>
      <c r="C97" s="161">
        <f>+'[81]Summary 2021-22'!C15</f>
        <v>1825887.73</v>
      </c>
      <c r="D97" s="154">
        <f>+'[81]Summary 2021-22'!D15</f>
        <v>820398.42</v>
      </c>
      <c r="E97" s="161">
        <f>B97+C97-D97</f>
        <v>1138496.9099999997</v>
      </c>
      <c r="F97" s="154">
        <v>0</v>
      </c>
      <c r="G97" s="154">
        <v>0</v>
      </c>
      <c r="H97" s="154">
        <v>0</v>
      </c>
      <c r="I97" s="154">
        <v>0</v>
      </c>
      <c r="J97" s="1056">
        <f>+B97</f>
        <v>133007.59999999963</v>
      </c>
      <c r="K97" s="1056">
        <f>E97</f>
        <v>1138496.9099999997</v>
      </c>
    </row>
    <row r="98" spans="1:11" ht="15" thickBot="1">
      <c r="A98" s="1057" t="s">
        <v>1253</v>
      </c>
      <c r="B98" s="1055">
        <f>+'[81]Summary-20-21'!E16</f>
        <v>179999.53999999957</v>
      </c>
      <c r="C98" s="161">
        <v>42196733.909999996</v>
      </c>
      <c r="D98" s="154">
        <f>+'[81]Summary 2021-22'!D16</f>
        <v>3134481</v>
      </c>
      <c r="E98" s="161">
        <f>B98+C98-D98</f>
        <v>39242252.449999996</v>
      </c>
      <c r="F98" s="154">
        <v>0</v>
      </c>
      <c r="G98" s="154">
        <v>0</v>
      </c>
      <c r="H98" s="154">
        <v>0</v>
      </c>
      <c r="I98" s="154">
        <v>0</v>
      </c>
      <c r="J98" s="1058">
        <f>B98</f>
        <v>179999.53999999957</v>
      </c>
      <c r="K98" s="1056">
        <f>E98</f>
        <v>39242252.449999996</v>
      </c>
    </row>
    <row r="99" spans="1:11" ht="16.2" thickBot="1">
      <c r="A99" s="1059" t="s">
        <v>1251</v>
      </c>
      <c r="B99" s="1060">
        <f>SUM(B97:B98)</f>
        <v>313007.1399999992</v>
      </c>
      <c r="C99" s="1048">
        <f t="shared" ref="C99:K99" si="25">SUM(C97:C98)</f>
        <v>44022621.639999993</v>
      </c>
      <c r="D99" s="1048">
        <f t="shared" si="25"/>
        <v>3954879.42</v>
      </c>
      <c r="E99" s="1048">
        <f>SUM(E97:E98)</f>
        <v>40380749.359999992</v>
      </c>
      <c r="F99" s="1048">
        <f t="shared" si="25"/>
        <v>0</v>
      </c>
      <c r="G99" s="1048">
        <f t="shared" si="25"/>
        <v>0</v>
      </c>
      <c r="H99" s="1048">
        <f t="shared" si="25"/>
        <v>0</v>
      </c>
      <c r="I99" s="1048">
        <f t="shared" si="25"/>
        <v>0</v>
      </c>
      <c r="J99" s="1048">
        <f t="shared" si="25"/>
        <v>313007.1399999992</v>
      </c>
      <c r="K99" s="1061">
        <f t="shared" si="25"/>
        <v>40380749.359999992</v>
      </c>
    </row>
    <row r="100" spans="1:11" ht="15" thickBot="1">
      <c r="A100" s="1062"/>
      <c r="K100" s="1050"/>
    </row>
    <row r="101" spans="1:11" ht="16.2" thickBot="1">
      <c r="A101" s="1059" t="s">
        <v>911</v>
      </c>
      <c r="B101" s="1060">
        <f>B94+B99</f>
        <v>340779598.38799989</v>
      </c>
      <c r="C101" s="1048">
        <f t="shared" ref="C101:K101" si="26">C94+C99</f>
        <v>53698096.87771976</v>
      </c>
      <c r="D101" s="1048">
        <f t="shared" si="26"/>
        <v>3954879.42</v>
      </c>
      <c r="E101" s="1048">
        <f>E94+E99</f>
        <v>390522815.8457197</v>
      </c>
      <c r="F101" s="1048">
        <f t="shared" si="26"/>
        <v>124236789.32945555</v>
      </c>
      <c r="G101" s="1048">
        <f t="shared" si="26"/>
        <v>17957748.491325565</v>
      </c>
      <c r="H101" s="1048">
        <f t="shared" si="26"/>
        <v>0</v>
      </c>
      <c r="I101" s="1048">
        <f t="shared" si="26"/>
        <v>142194537.82078111</v>
      </c>
      <c r="J101" s="1048">
        <f t="shared" si="26"/>
        <v>216542809.05854443</v>
      </c>
      <c r="K101" s="1061">
        <f t="shared" si="26"/>
        <v>248328278.02493861</v>
      </c>
    </row>
    <row r="103" spans="1:11" ht="15" thickBot="1"/>
    <row r="104" spans="1:11" ht="16.2" thickBot="1">
      <c r="A104" s="1034"/>
      <c r="B104" s="2345" t="s">
        <v>1254</v>
      </c>
      <c r="C104" s="2345"/>
      <c r="D104" s="2345"/>
      <c r="E104" s="2345"/>
      <c r="F104" s="2345"/>
      <c r="G104" s="2345"/>
      <c r="H104" s="2345"/>
      <c r="I104" s="2345"/>
      <c r="J104" s="2345"/>
      <c r="K104" s="2346"/>
    </row>
    <row r="105" spans="1:11" ht="15.6">
      <c r="A105" s="2347"/>
      <c r="B105" s="2349" t="s">
        <v>1242</v>
      </c>
      <c r="C105" s="2350"/>
      <c r="D105" s="2350"/>
      <c r="E105" s="2351"/>
      <c r="F105" s="2352" t="s">
        <v>144</v>
      </c>
      <c r="G105" s="2353"/>
      <c r="H105" s="2354"/>
      <c r="I105" s="2353"/>
      <c r="J105" s="1035">
        <v>43922</v>
      </c>
      <c r="K105" s="1036">
        <v>44286</v>
      </c>
    </row>
    <row r="106" spans="1:11" ht="47.4" thickBot="1">
      <c r="A106" s="2348"/>
      <c r="B106" s="1037">
        <v>43922</v>
      </c>
      <c r="C106" s="1038" t="s">
        <v>1255</v>
      </c>
      <c r="D106" s="1039" t="s">
        <v>1256</v>
      </c>
      <c r="E106" s="1037">
        <v>44286</v>
      </c>
      <c r="F106" s="1040" t="s">
        <v>1257</v>
      </c>
      <c r="G106" s="1039" t="s">
        <v>1246</v>
      </c>
      <c r="H106" s="1041" t="s">
        <v>1247</v>
      </c>
      <c r="I106" s="1040" t="s">
        <v>1248</v>
      </c>
      <c r="J106" s="1042" t="s">
        <v>1249</v>
      </c>
      <c r="K106" s="1043" t="s">
        <v>1249</v>
      </c>
    </row>
    <row r="107" spans="1:11">
      <c r="A107" s="1044" t="s">
        <v>1250</v>
      </c>
      <c r="B107" s="153">
        <v>33964999.899999999</v>
      </c>
      <c r="C107" s="153">
        <v>0</v>
      </c>
      <c r="D107" s="153">
        <v>0</v>
      </c>
      <c r="E107" s="154">
        <f t="shared" ref="E107:E114" si="27">B107+C107-D107</f>
        <v>33964999.899999999</v>
      </c>
      <c r="F107" s="153">
        <v>0</v>
      </c>
      <c r="G107" s="153">
        <v>0</v>
      </c>
      <c r="H107" s="153"/>
      <c r="I107" s="153">
        <v>0</v>
      </c>
      <c r="J107" s="154">
        <v>33964999.899999999</v>
      </c>
      <c r="K107" s="155">
        <v>33964999.899999999</v>
      </c>
    </row>
    <row r="108" spans="1:11">
      <c r="A108" s="1045" t="s">
        <v>1221</v>
      </c>
      <c r="B108" s="153">
        <v>56016203.549999997</v>
      </c>
      <c r="C108" s="153">
        <v>2907026.98</v>
      </c>
      <c r="D108" s="153">
        <v>0</v>
      </c>
      <c r="E108" s="154">
        <f t="shared" si="27"/>
        <v>58923230.529999994</v>
      </c>
      <c r="F108" s="153">
        <v>3700708.5652456624</v>
      </c>
      <c r="G108" s="153">
        <v>1834185.4234531051</v>
      </c>
      <c r="H108" s="153">
        <v>0</v>
      </c>
      <c r="I108" s="156">
        <v>5534893.9886987675</v>
      </c>
      <c r="J108" s="156">
        <v>52315494.984754331</v>
      </c>
      <c r="K108" s="157">
        <v>53388336.541301228</v>
      </c>
    </row>
    <row r="109" spans="1:11">
      <c r="A109" s="1045" t="s">
        <v>302</v>
      </c>
      <c r="B109" s="153">
        <v>217294094.07799998</v>
      </c>
      <c r="C109" s="153">
        <v>5234643.66</v>
      </c>
      <c r="D109" s="153">
        <v>7228395.2299999995</v>
      </c>
      <c r="E109" s="154">
        <f t="shared" si="27"/>
        <v>215300342.50799999</v>
      </c>
      <c r="F109" s="153">
        <v>92431426.995565161</v>
      </c>
      <c r="G109" s="153">
        <v>13466160.816718986</v>
      </c>
      <c r="H109" s="153">
        <v>6401419.3742230469</v>
      </c>
      <c r="I109" s="156">
        <v>99496168.438061088</v>
      </c>
      <c r="J109" s="156">
        <v>124862667.08243482</v>
      </c>
      <c r="K109" s="157">
        <v>115804174.0699389</v>
      </c>
    </row>
    <row r="110" spans="1:11">
      <c r="A110" s="1045" t="s">
        <v>1222</v>
      </c>
      <c r="B110" s="153">
        <v>2991111</v>
      </c>
      <c r="C110" s="153">
        <v>0</v>
      </c>
      <c r="D110" s="153">
        <v>0</v>
      </c>
      <c r="E110" s="154">
        <f t="shared" si="27"/>
        <v>2991111</v>
      </c>
      <c r="F110" s="153">
        <v>189570.87386887943</v>
      </c>
      <c r="G110" s="153">
        <v>369148.96419712796</v>
      </c>
      <c r="H110" s="153">
        <v>0</v>
      </c>
      <c r="I110" s="156">
        <v>558719.83806600736</v>
      </c>
      <c r="J110" s="156">
        <v>2801540.1261311206</v>
      </c>
      <c r="K110" s="157">
        <f>2432391.16193399+0.4</f>
        <v>2432391.5619339901</v>
      </c>
    </row>
    <row r="111" spans="1:11">
      <c r="A111" s="1045" t="s">
        <v>1223</v>
      </c>
      <c r="B111" s="153">
        <v>1057200.7</v>
      </c>
      <c r="C111" s="153">
        <v>0</v>
      </c>
      <c r="D111" s="153">
        <v>312675</v>
      </c>
      <c r="E111" s="154">
        <f t="shared" si="27"/>
        <v>744525.7</v>
      </c>
      <c r="F111" s="153">
        <v>939165.05196347041</v>
      </c>
      <c r="G111" s="153">
        <v>46789.81352511415</v>
      </c>
      <c r="H111" s="153">
        <v>297041</v>
      </c>
      <c r="I111" s="156">
        <v>688913.86548858462</v>
      </c>
      <c r="J111" s="156">
        <v>118035.64803652954</v>
      </c>
      <c r="K111" s="157">
        <f>55611.8345114153+0.8+0.03</f>
        <v>55612.6645114153</v>
      </c>
    </row>
    <row r="112" spans="1:11">
      <c r="A112" s="1045" t="s">
        <v>1224</v>
      </c>
      <c r="B112" s="153">
        <v>884075.03</v>
      </c>
      <c r="C112" s="153">
        <v>415195.47</v>
      </c>
      <c r="D112" s="153">
        <v>275211</v>
      </c>
      <c r="E112" s="154">
        <f t="shared" si="27"/>
        <v>1024059.5</v>
      </c>
      <c r="F112" s="153">
        <v>753817.65582759003</v>
      </c>
      <c r="G112" s="153">
        <v>103252.61500000002</v>
      </c>
      <c r="H112" s="153">
        <v>258544</v>
      </c>
      <c r="I112" s="156">
        <v>598526.27082759002</v>
      </c>
      <c r="J112" s="156">
        <v>130257.37417241</v>
      </c>
      <c r="K112" s="157">
        <f>425533.22917241-0.8</f>
        <v>425532.42917240999</v>
      </c>
    </row>
    <row r="113" spans="1:11">
      <c r="A113" s="1045" t="s">
        <v>1225</v>
      </c>
      <c r="B113" s="153">
        <v>1820295</v>
      </c>
      <c r="C113" s="153">
        <v>47872.03</v>
      </c>
      <c r="D113" s="153">
        <v>537953</v>
      </c>
      <c r="E113" s="154">
        <f t="shared" si="27"/>
        <v>1330214.03</v>
      </c>
      <c r="F113" s="153">
        <v>1478166.1085677366</v>
      </c>
      <c r="G113" s="153">
        <v>46906.637584569173</v>
      </c>
      <c r="H113" s="153">
        <v>511055</v>
      </c>
      <c r="I113" s="156">
        <v>1014017.7461523057</v>
      </c>
      <c r="J113" s="156">
        <v>342128.89143226342</v>
      </c>
      <c r="K113" s="157">
        <f>316196.283847694-0.8</f>
        <v>316195.48384769401</v>
      </c>
    </row>
    <row r="114" spans="1:11" ht="15" thickBot="1">
      <c r="A114" s="1046" t="s">
        <v>1226</v>
      </c>
      <c r="B114" s="153">
        <v>28507136.800000001</v>
      </c>
      <c r="C114" s="153">
        <v>422775</v>
      </c>
      <c r="D114" s="153">
        <v>2741803.7199999997</v>
      </c>
      <c r="E114" s="154">
        <f t="shared" si="27"/>
        <v>26188108.080000002</v>
      </c>
      <c r="F114" s="153">
        <v>16647091.583539886</v>
      </c>
      <c r="G114" s="153">
        <v>1861537.3326213248</v>
      </c>
      <c r="H114" s="153">
        <v>2163078.08</v>
      </c>
      <c r="I114" s="156">
        <v>16345550.836161209</v>
      </c>
      <c r="J114" s="158">
        <v>11860045.216460114</v>
      </c>
      <c r="K114" s="159">
        <f>9842557.24383879-2</f>
        <v>9842555.2438387908</v>
      </c>
    </row>
    <row r="115" spans="1:11" ht="16.2" thickBot="1">
      <c r="A115" s="1047" t="s">
        <v>1251</v>
      </c>
      <c r="B115" s="1061">
        <f t="shared" ref="B115:I115" si="28">+SUM(B107:B114)</f>
        <v>342535116.05799997</v>
      </c>
      <c r="C115" s="1061">
        <f t="shared" si="28"/>
        <v>9027513.1400000006</v>
      </c>
      <c r="D115" s="1061">
        <f t="shared" si="28"/>
        <v>11096037.949999999</v>
      </c>
      <c r="E115" s="1061">
        <f t="shared" si="28"/>
        <v>340466591.24799991</v>
      </c>
      <c r="F115" s="1061">
        <f t="shared" si="28"/>
        <v>116139946.83457838</v>
      </c>
      <c r="G115" s="1061">
        <f t="shared" si="28"/>
        <v>17727981.603100225</v>
      </c>
      <c r="H115" s="1061">
        <f t="shared" si="28"/>
        <v>9631137.4542230479</v>
      </c>
      <c r="I115" s="1061">
        <f t="shared" si="28"/>
        <v>124236790.98345557</v>
      </c>
      <c r="J115" s="1061">
        <f>+SUM(J107:J114)</f>
        <v>226395169.22342157</v>
      </c>
      <c r="K115" s="1061">
        <f>+SUM(K107:K114)</f>
        <v>216229797.89454442</v>
      </c>
    </row>
    <row r="116" spans="1:11" ht="15" thickBot="1">
      <c r="A116" s="1049"/>
      <c r="B116" s="160"/>
      <c r="K116" s="1050"/>
    </row>
    <row r="117" spans="1:11" ht="15" thickBot="1">
      <c r="A117" s="1051" t="s">
        <v>461</v>
      </c>
      <c r="B117" s="1052"/>
      <c r="C117" s="1052"/>
      <c r="D117" s="1052"/>
      <c r="E117" s="1052"/>
      <c r="F117" s="1052"/>
      <c r="G117" s="1052"/>
      <c r="H117" s="1052"/>
      <c r="I117" s="1052"/>
      <c r="J117" s="1052"/>
      <c r="K117" s="1053"/>
    </row>
    <row r="118" spans="1:11">
      <c r="A118" s="1054" t="s">
        <v>1252</v>
      </c>
      <c r="B118" s="153">
        <v>172560</v>
      </c>
      <c r="C118" s="153">
        <v>2867475.08</v>
      </c>
      <c r="D118" s="153">
        <v>2907027.08</v>
      </c>
      <c r="E118" s="161">
        <v>133008</v>
      </c>
      <c r="F118" s="153">
        <v>0</v>
      </c>
      <c r="G118" s="153">
        <v>0</v>
      </c>
      <c r="H118" s="153">
        <v>0</v>
      </c>
      <c r="I118" s="153">
        <v>0</v>
      </c>
      <c r="J118" s="161">
        <v>172559.99999999988</v>
      </c>
      <c r="K118" s="1056">
        <v>133008</v>
      </c>
    </row>
    <row r="119" spans="1:11" ht="15" thickBot="1">
      <c r="A119" s="1057" t="s">
        <v>1253</v>
      </c>
      <c r="B119" s="153">
        <v>229919</v>
      </c>
      <c r="C119" s="153">
        <v>3105824.5399999996</v>
      </c>
      <c r="D119" s="153">
        <v>3155744</v>
      </c>
      <c r="E119" s="161">
        <v>179999.53999999957</v>
      </c>
      <c r="F119" s="153">
        <v>0</v>
      </c>
      <c r="G119" s="153">
        <v>0</v>
      </c>
      <c r="H119" s="153">
        <v>0</v>
      </c>
      <c r="I119" s="153">
        <v>0</v>
      </c>
      <c r="J119" s="1058">
        <v>229919</v>
      </c>
      <c r="K119" s="1056">
        <v>179999.53999999957</v>
      </c>
    </row>
    <row r="120" spans="1:11" ht="16.2" thickBot="1">
      <c r="A120" s="1059" t="s">
        <v>1251</v>
      </c>
      <c r="B120" s="1060">
        <v>402479</v>
      </c>
      <c r="C120" s="1048">
        <v>5973299.6199999992</v>
      </c>
      <c r="D120" s="1048">
        <v>6062771.0800000001</v>
      </c>
      <c r="E120" s="1048">
        <v>313007.53999999957</v>
      </c>
      <c r="F120" s="1048">
        <v>0</v>
      </c>
      <c r="G120" s="1048">
        <v>0</v>
      </c>
      <c r="H120" s="1048">
        <v>0</v>
      </c>
      <c r="I120" s="1048">
        <v>0</v>
      </c>
      <c r="J120" s="1048">
        <v>402478.99999999988</v>
      </c>
      <c r="K120" s="1061">
        <v>313007.53999999957</v>
      </c>
    </row>
    <row r="121" spans="1:11" ht="15" thickBot="1">
      <c r="A121" s="1062"/>
      <c r="K121" s="1050"/>
    </row>
    <row r="122" spans="1:11" ht="16.2" thickBot="1">
      <c r="A122" s="1059" t="s">
        <v>911</v>
      </c>
      <c r="B122" s="1060">
        <v>342937595.05799997</v>
      </c>
      <c r="C122" s="1048">
        <v>15000812.76</v>
      </c>
      <c r="D122" s="1048">
        <v>17158809.030000001</v>
      </c>
      <c r="E122" s="1048">
        <v>340779598.78799993</v>
      </c>
      <c r="F122" s="1048">
        <v>116139946.83457838</v>
      </c>
      <c r="G122" s="1048">
        <v>17727981.603100225</v>
      </c>
      <c r="H122" s="1048">
        <v>9631137.4542230479</v>
      </c>
      <c r="I122" s="1048">
        <v>124236790.98345557</v>
      </c>
      <c r="J122" s="1048">
        <v>226797648.22342157</v>
      </c>
      <c r="K122" s="1061">
        <v>216542807.80454442</v>
      </c>
    </row>
  </sheetData>
  <mergeCells count="16">
    <mergeCell ref="A105:A106"/>
    <mergeCell ref="B105:E105"/>
    <mergeCell ref="F105:I105"/>
    <mergeCell ref="A34:A35"/>
    <mergeCell ref="B34:F34"/>
    <mergeCell ref="A47:A48"/>
    <mergeCell ref="B47:F47"/>
    <mergeCell ref="B59:K59"/>
    <mergeCell ref="A60:A61"/>
    <mergeCell ref="B60:E60"/>
    <mergeCell ref="F60:I60"/>
    <mergeCell ref="B83:K83"/>
    <mergeCell ref="A84:A85"/>
    <mergeCell ref="B84:E84"/>
    <mergeCell ref="F84:I84"/>
    <mergeCell ref="B104:K104"/>
  </mergeCells>
  <hyperlinks>
    <hyperlink ref="A86" location="'1'!A1" tooltip="Click to go to &quot;Land&quot; Sheet" display="Land" xr:uid="{00000000-0004-0000-0F00-000000000000}"/>
    <hyperlink ref="A87" location="'2'!A1" tooltip="Click to go to &quot;Buildings&quot; Sheet" display="Buildings" xr:uid="{00000000-0004-0000-0F00-000001000000}"/>
    <hyperlink ref="A88" location="'3'!A1" tooltip="Click to go to &quot;Plant &amp; Machinery&quot; Sheet" display="Plant and Machinery" xr:uid="{00000000-0004-0000-0F00-000002000000}"/>
    <hyperlink ref="A89" location="'4'!A1" tooltip="Click to go to &quot;Motor Vehicles&quot; Sheet" display="Motor Vehicles" xr:uid="{00000000-0004-0000-0F00-000003000000}"/>
    <hyperlink ref="A90" location="'5'!A1" tooltip="Click to go to &quot;Computers&quot; Sheet" display="Computers" xr:uid="{00000000-0004-0000-0F00-000004000000}"/>
    <hyperlink ref="A91" location="'6'!A1" tooltip="Click to go to &quot;Office Equipments&quot; Sheet" display="Office Equipments" xr:uid="{00000000-0004-0000-0F00-000005000000}"/>
    <hyperlink ref="A92" location="'7'!A1" tooltip="Click to go to &quot;Furniture &amp; Fittings&quot; Sheet" display="Furniture and Fittings" xr:uid="{00000000-0004-0000-0F00-000006000000}"/>
    <hyperlink ref="A93" location="'8'!A1" tooltip="Click to go to &quot;Electrical Installations&quot; Sheet" display="Electrical Installations" xr:uid="{00000000-0004-0000-0F00-000007000000}"/>
    <hyperlink ref="B4" location="'1'!A1" tooltip="Click to go to &quot;Land&quot; Sheet" display="Land" xr:uid="{00000000-0004-0000-0F00-000008000000}"/>
    <hyperlink ref="C4" location="'2'!A1" tooltip="Click to go to &quot;Buildings&quot; Sheet" display="Buildings" xr:uid="{00000000-0004-0000-0F00-000009000000}"/>
    <hyperlink ref="D4" location="'3'!A1" tooltip="Click to go to &quot;Plant &amp; Machinery&quot; Sheet" display="Plant and Machinery" xr:uid="{00000000-0004-0000-0F00-00000A000000}"/>
    <hyperlink ref="E4" location="'4'!A1" tooltip="Click to go to &quot;Motor Vehicles&quot; Sheet" display="Motor Vehicles" xr:uid="{00000000-0004-0000-0F00-00000B000000}"/>
    <hyperlink ref="F4" location="'5'!A1" tooltip="Click to go to &quot;Computers&quot; Sheet" display="Computers" xr:uid="{00000000-0004-0000-0F00-00000C000000}"/>
    <hyperlink ref="G4" location="'6'!A1" tooltip="Click to go to &quot;Office Equipments&quot; Sheet" display="Office Equipments" xr:uid="{00000000-0004-0000-0F00-00000D000000}"/>
    <hyperlink ref="H4" location="'7'!A1" tooltip="Click to go to &quot;Furniture &amp; Fittings&quot; Sheet" display="Furniture and Fittings" xr:uid="{00000000-0004-0000-0F00-00000E000000}"/>
    <hyperlink ref="I4" location="'8'!A1" tooltip="Click to go to &quot;Electrical Installations&quot; Sheet" display="Electrical Installations" xr:uid="{00000000-0004-0000-0F00-00000F000000}"/>
  </hyperlinks>
  <pageMargins left="0.70866141732283472" right="0.70866141732283472" top="0.74803149606299213" bottom="0.74803149606299213" header="0.31496062992125984" footer="0.31496062992125984"/>
  <pageSetup scale="5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3:J611"/>
  <sheetViews>
    <sheetView topLeftCell="A3" zoomScale="80" zoomScaleNormal="80" workbookViewId="0">
      <selection activeCell="A3" sqref="A3"/>
    </sheetView>
  </sheetViews>
  <sheetFormatPr defaultRowHeight="14.4"/>
  <cols>
    <col min="1" max="1" width="13.33203125" bestFit="1" customWidth="1"/>
    <col min="2" max="2" width="40.109375" bestFit="1" customWidth="1"/>
    <col min="3" max="3" width="44.6640625" bestFit="1" customWidth="1"/>
    <col min="4" max="4" width="48" bestFit="1" customWidth="1"/>
    <col min="5" max="5" width="19.6640625" bestFit="1" customWidth="1"/>
    <col min="6" max="6" width="19.5546875" bestFit="1" customWidth="1"/>
    <col min="7" max="7" width="19.6640625" bestFit="1" customWidth="1"/>
    <col min="8" max="8" width="19.5546875" bestFit="1" customWidth="1"/>
    <col min="9" max="9" width="32.109375" customWidth="1"/>
  </cols>
  <sheetData>
    <row r="3" spans="1:8">
      <c r="A3" s="13" t="s">
        <v>673</v>
      </c>
      <c r="B3" s="13" t="s">
        <v>2</v>
      </c>
      <c r="C3" s="13" t="s">
        <v>3</v>
      </c>
      <c r="D3" s="13" t="s">
        <v>0</v>
      </c>
      <c r="E3" t="s">
        <v>675</v>
      </c>
      <c r="F3" t="s">
        <v>676</v>
      </c>
      <c r="G3" t="s">
        <v>677</v>
      </c>
      <c r="H3" t="s">
        <v>678</v>
      </c>
    </row>
    <row r="4" spans="1:8">
      <c r="A4" s="14">
        <v>2</v>
      </c>
      <c r="B4" s="14" t="s">
        <v>82</v>
      </c>
      <c r="C4" s="14" t="s">
        <v>461</v>
      </c>
      <c r="D4" s="14" t="s">
        <v>463</v>
      </c>
      <c r="E4">
        <v>9930454</v>
      </c>
      <c r="F4">
        <v>0</v>
      </c>
      <c r="G4">
        <v>2070258</v>
      </c>
      <c r="H4">
        <v>0</v>
      </c>
    </row>
    <row r="5" spans="1:8">
      <c r="D5" s="14" t="s">
        <v>462</v>
      </c>
      <c r="E5">
        <v>198800</v>
      </c>
      <c r="F5">
        <v>0</v>
      </c>
      <c r="G5">
        <v>153050</v>
      </c>
      <c r="H5">
        <v>0</v>
      </c>
    </row>
    <row r="6" spans="1:8">
      <c r="D6" s="14" t="s">
        <v>460</v>
      </c>
      <c r="E6">
        <v>1374004</v>
      </c>
      <c r="F6">
        <v>0</v>
      </c>
      <c r="G6">
        <v>711000</v>
      </c>
      <c r="H6">
        <v>0</v>
      </c>
    </row>
    <row r="7" spans="1:8">
      <c r="D7" s="14" t="s">
        <v>464</v>
      </c>
      <c r="E7">
        <v>491595</v>
      </c>
      <c r="F7">
        <v>0</v>
      </c>
      <c r="G7">
        <v>27003</v>
      </c>
      <c r="H7">
        <v>0</v>
      </c>
    </row>
    <row r="8" spans="1:8">
      <c r="D8" s="14" t="s">
        <v>488</v>
      </c>
      <c r="E8">
        <v>17362000</v>
      </c>
      <c r="F8">
        <v>0</v>
      </c>
      <c r="G8">
        <v>16722713</v>
      </c>
      <c r="H8">
        <v>0</v>
      </c>
    </row>
    <row r="9" spans="1:8">
      <c r="D9" s="14" t="s">
        <v>513</v>
      </c>
      <c r="E9">
        <v>6416446.9100000001</v>
      </c>
      <c r="F9">
        <v>0</v>
      </c>
      <c r="G9">
        <v>1138497.31</v>
      </c>
      <c r="H9">
        <v>0</v>
      </c>
    </row>
    <row r="10" spans="1:8">
      <c r="D10" s="14" t="s">
        <v>487</v>
      </c>
      <c r="E10">
        <v>26642149.920000002</v>
      </c>
      <c r="F10">
        <v>0</v>
      </c>
      <c r="G10">
        <v>4115523</v>
      </c>
      <c r="H10">
        <v>0</v>
      </c>
    </row>
    <row r="11" spans="1:8">
      <c r="D11" s="14" t="s">
        <v>514</v>
      </c>
      <c r="E11">
        <v>83731782.780000001</v>
      </c>
      <c r="F11">
        <v>0</v>
      </c>
      <c r="G11">
        <v>15442705.91</v>
      </c>
      <c r="H11">
        <v>0</v>
      </c>
    </row>
    <row r="12" spans="1:8">
      <c r="D12" s="14" t="s">
        <v>2386</v>
      </c>
      <c r="E12">
        <v>0</v>
      </c>
      <c r="F12">
        <v>0</v>
      </c>
    </row>
    <row r="13" spans="1:8">
      <c r="D13" s="14" t="s">
        <v>2765</v>
      </c>
      <c r="E13">
        <v>300000</v>
      </c>
      <c r="F13">
        <v>0</v>
      </c>
      <c r="G13">
        <v>0</v>
      </c>
      <c r="H13">
        <v>0</v>
      </c>
    </row>
    <row r="14" spans="1:8">
      <c r="C14" s="14" t="s">
        <v>707</v>
      </c>
      <c r="E14">
        <v>146447232.61000001</v>
      </c>
      <c r="F14">
        <v>0</v>
      </c>
      <c r="G14">
        <v>40380750.219999999</v>
      </c>
      <c r="H14">
        <v>0</v>
      </c>
    </row>
    <row r="15" spans="1:8">
      <c r="C15" s="14" t="s">
        <v>83</v>
      </c>
      <c r="D15" s="14" t="s">
        <v>81</v>
      </c>
      <c r="E15">
        <v>64116710.619999997</v>
      </c>
      <c r="F15">
        <v>0</v>
      </c>
      <c r="G15">
        <v>61286378.619999997</v>
      </c>
      <c r="H15">
        <v>0</v>
      </c>
    </row>
    <row r="16" spans="1:8">
      <c r="D16" s="14" t="s">
        <v>109</v>
      </c>
      <c r="E16">
        <v>898435.7</v>
      </c>
      <c r="F16">
        <v>0</v>
      </c>
      <c r="G16">
        <v>868635.7</v>
      </c>
      <c r="H16">
        <v>0</v>
      </c>
    </row>
    <row r="17" spans="1:9">
      <c r="D17" s="14" t="s">
        <v>167</v>
      </c>
      <c r="E17">
        <v>26557047.010000002</v>
      </c>
      <c r="F17">
        <v>0</v>
      </c>
      <c r="G17">
        <v>26458587.010000002</v>
      </c>
      <c r="H17">
        <v>0</v>
      </c>
    </row>
    <row r="18" spans="1:9">
      <c r="D18" s="14" t="s">
        <v>192</v>
      </c>
      <c r="E18">
        <v>33965000</v>
      </c>
      <c r="F18">
        <v>0</v>
      </c>
      <c r="G18">
        <v>33965000</v>
      </c>
      <c r="H18">
        <v>0</v>
      </c>
    </row>
    <row r="19" spans="1:9">
      <c r="D19" s="14" t="s">
        <v>193</v>
      </c>
      <c r="E19">
        <v>1884828.03</v>
      </c>
      <c r="F19">
        <v>0</v>
      </c>
      <c r="G19">
        <v>1344196.03</v>
      </c>
      <c r="H19">
        <v>0</v>
      </c>
    </row>
    <row r="20" spans="1:9">
      <c r="D20" s="14" t="s">
        <v>277</v>
      </c>
      <c r="E20">
        <v>1123742.8799999999</v>
      </c>
      <c r="F20">
        <v>0</v>
      </c>
      <c r="G20">
        <v>1123742.8799999999</v>
      </c>
      <c r="H20">
        <v>0</v>
      </c>
    </row>
    <row r="21" spans="1:9">
      <c r="D21" s="14" t="s">
        <v>302</v>
      </c>
      <c r="E21">
        <v>222167592.13999999</v>
      </c>
      <c r="F21">
        <v>0</v>
      </c>
      <c r="G21">
        <v>222104414.13999999</v>
      </c>
      <c r="H21">
        <v>0</v>
      </c>
      <c r="I21">
        <f>+GETPIVOTDATA("Sum of Dr. Final 21-22",$A$3,"Note",2,"BS Main Head","Property, Plant and Equipment","BS Sub Head","Tangible Asset")-GETPIVOTDATA("Sum of Cr. Final 21-22",$A$3,"Note",2,"BS Main Head","Property, Plant and Equipment","BS Sub Head","Tangible Asset - PFD")</f>
        <v>207947525.38</v>
      </c>
    </row>
    <row r="22" spans="1:9">
      <c r="D22" s="14" t="s">
        <v>501</v>
      </c>
      <c r="E22">
        <v>2991111</v>
      </c>
      <c r="F22">
        <v>0</v>
      </c>
      <c r="G22">
        <v>2991111</v>
      </c>
      <c r="H22">
        <v>0</v>
      </c>
    </row>
    <row r="23" spans="1:9">
      <c r="C23" s="14" t="s">
        <v>708</v>
      </c>
      <c r="E23">
        <v>353704467.38</v>
      </c>
      <c r="F23">
        <v>0</v>
      </c>
      <c r="G23">
        <v>350142065.38</v>
      </c>
      <c r="H23">
        <v>0</v>
      </c>
    </row>
    <row r="24" spans="1:9">
      <c r="C24" s="14" t="s">
        <v>318</v>
      </c>
      <c r="D24" s="14" t="s">
        <v>317</v>
      </c>
      <c r="E24">
        <v>0</v>
      </c>
      <c r="F24">
        <v>8886648</v>
      </c>
      <c r="G24">
        <v>0</v>
      </c>
      <c r="H24">
        <v>7061027</v>
      </c>
    </row>
    <row r="25" spans="1:9">
      <c r="D25" s="14" t="s">
        <v>319</v>
      </c>
      <c r="E25">
        <v>0</v>
      </c>
      <c r="F25">
        <v>771454</v>
      </c>
      <c r="G25">
        <v>0</v>
      </c>
      <c r="H25">
        <v>730456</v>
      </c>
    </row>
    <row r="26" spans="1:9">
      <c r="D26" s="14" t="s">
        <v>320</v>
      </c>
      <c r="E26">
        <v>0</v>
      </c>
      <c r="F26">
        <v>19886895</v>
      </c>
      <c r="G26">
        <v>0</v>
      </c>
      <c r="H26">
        <v>18195794</v>
      </c>
    </row>
    <row r="27" spans="1:9">
      <c r="D27" s="14" t="s">
        <v>321</v>
      </c>
      <c r="E27">
        <v>0</v>
      </c>
      <c r="F27">
        <v>379192</v>
      </c>
      <c r="G27">
        <v>0</v>
      </c>
      <c r="H27">
        <v>379192</v>
      </c>
    </row>
    <row r="28" spans="1:9">
      <c r="D28" s="14" t="s">
        <v>322</v>
      </c>
      <c r="E28">
        <v>0</v>
      </c>
      <c r="F28">
        <v>1114747</v>
      </c>
      <c r="G28">
        <v>0</v>
      </c>
      <c r="H28">
        <v>1062735</v>
      </c>
    </row>
    <row r="29" spans="1:9">
      <c r="D29" s="14" t="s">
        <v>323</v>
      </c>
      <c r="E29">
        <v>0</v>
      </c>
      <c r="F29">
        <v>817411</v>
      </c>
      <c r="G29">
        <v>0</v>
      </c>
      <c r="H29">
        <v>712545</v>
      </c>
    </row>
    <row r="30" spans="1:9">
      <c r="D30" s="14" t="s">
        <v>324</v>
      </c>
      <c r="E30">
        <v>0</v>
      </c>
      <c r="F30">
        <v>127155757</v>
      </c>
      <c r="G30">
        <v>0</v>
      </c>
      <c r="H30">
        <v>113124922</v>
      </c>
    </row>
    <row r="31" spans="1:9">
      <c r="D31" s="14" t="s">
        <v>325</v>
      </c>
      <c r="E31">
        <v>0</v>
      </c>
      <c r="F31">
        <v>1264103</v>
      </c>
      <c r="G31">
        <v>0</v>
      </c>
      <c r="H31">
        <v>927869</v>
      </c>
    </row>
    <row r="32" spans="1:9" s="435" customFormat="1">
      <c r="A32"/>
      <c r="B32"/>
      <c r="C32" s="14" t="s">
        <v>709</v>
      </c>
      <c r="D32"/>
      <c r="E32">
        <v>0</v>
      </c>
      <c r="F32">
        <v>160276207</v>
      </c>
      <c r="G32">
        <v>0</v>
      </c>
      <c r="H32">
        <v>142194540</v>
      </c>
    </row>
    <row r="33" spans="1:8" s="435" customFormat="1">
      <c r="A33"/>
      <c r="B33" s="14" t="s">
        <v>679</v>
      </c>
      <c r="C33"/>
      <c r="D33"/>
      <c r="E33">
        <v>500151699.98999995</v>
      </c>
      <c r="F33">
        <v>160276207</v>
      </c>
      <c r="G33">
        <v>390522815.60000002</v>
      </c>
      <c r="H33">
        <v>142194540</v>
      </c>
    </row>
    <row r="34" spans="1:8" s="435" customFormat="1">
      <c r="A34" s="434">
        <v>3</v>
      </c>
      <c r="B34" s="434" t="s">
        <v>130</v>
      </c>
      <c r="C34" s="434" t="s">
        <v>131</v>
      </c>
      <c r="D34" s="434" t="s">
        <v>557</v>
      </c>
      <c r="E34" s="435">
        <v>900000</v>
      </c>
      <c r="F34" s="435">
        <v>0</v>
      </c>
    </row>
    <row r="35" spans="1:8" s="435" customFormat="1">
      <c r="D35" s="434" t="s">
        <v>132</v>
      </c>
      <c r="E35" s="435">
        <v>225820</v>
      </c>
      <c r="F35" s="435">
        <v>0</v>
      </c>
      <c r="G35" s="435">
        <v>215314.61</v>
      </c>
      <c r="H35" s="435">
        <v>0</v>
      </c>
    </row>
    <row r="36" spans="1:8" s="435" customFormat="1">
      <c r="D36" s="434" t="s">
        <v>135</v>
      </c>
      <c r="E36" s="435">
        <v>150294</v>
      </c>
      <c r="F36" s="435">
        <v>0</v>
      </c>
      <c r="G36" s="435">
        <v>150294</v>
      </c>
      <c r="H36" s="435">
        <v>0</v>
      </c>
    </row>
    <row r="37" spans="1:8" s="435" customFormat="1">
      <c r="D37" s="434" t="s">
        <v>440</v>
      </c>
      <c r="E37" s="435">
        <v>261462</v>
      </c>
      <c r="F37" s="435">
        <v>0</v>
      </c>
      <c r="G37" s="435">
        <v>250000</v>
      </c>
      <c r="H37" s="435">
        <v>0</v>
      </c>
    </row>
    <row r="38" spans="1:8" s="435" customFormat="1">
      <c r="D38" s="434" t="s">
        <v>188</v>
      </c>
      <c r="E38" s="1142">
        <v>1767870</v>
      </c>
      <c r="F38" s="435">
        <v>0</v>
      </c>
      <c r="G38" s="435">
        <v>1767870</v>
      </c>
      <c r="H38" s="435">
        <v>0</v>
      </c>
    </row>
    <row r="39" spans="1:8" s="435" customFormat="1">
      <c r="D39" s="434" t="s">
        <v>307</v>
      </c>
      <c r="E39" s="435">
        <v>164180</v>
      </c>
      <c r="F39" s="435">
        <v>0</v>
      </c>
      <c r="G39" s="435">
        <v>0</v>
      </c>
      <c r="H39" s="435">
        <v>0</v>
      </c>
    </row>
    <row r="40" spans="1:8" s="435" customFormat="1">
      <c r="C40" s="434" t="s">
        <v>710</v>
      </c>
      <c r="E40" s="435">
        <v>3469626</v>
      </c>
      <c r="F40" s="435">
        <v>0</v>
      </c>
      <c r="G40" s="435">
        <v>2383478.61</v>
      </c>
      <c r="H40" s="435">
        <v>0</v>
      </c>
    </row>
    <row r="41" spans="1:8" s="435" customFormat="1">
      <c r="B41" s="434" t="s">
        <v>680</v>
      </c>
      <c r="E41" s="435">
        <v>3469626</v>
      </c>
      <c r="F41" s="435">
        <v>0</v>
      </c>
      <c r="G41" s="435">
        <v>2383478.61</v>
      </c>
      <c r="H41" s="435">
        <v>0</v>
      </c>
    </row>
    <row r="42" spans="1:8" s="435" customFormat="1">
      <c r="A42" s="434">
        <v>4</v>
      </c>
      <c r="B42" s="434" t="s">
        <v>24</v>
      </c>
      <c r="C42" s="434" t="s">
        <v>25</v>
      </c>
      <c r="D42" s="14" t="s">
        <v>164</v>
      </c>
      <c r="E42">
        <v>18000</v>
      </c>
      <c r="F42">
        <v>0</v>
      </c>
      <c r="G42">
        <v>0</v>
      </c>
      <c r="H42">
        <v>0</v>
      </c>
    </row>
    <row r="43" spans="1:8" s="435" customFormat="1">
      <c r="D43" s="434" t="s">
        <v>444</v>
      </c>
      <c r="E43" s="1142">
        <v>0</v>
      </c>
      <c r="F43" s="435">
        <v>0</v>
      </c>
      <c r="G43" s="435">
        <v>1200000</v>
      </c>
      <c r="H43" s="435">
        <v>0</v>
      </c>
    </row>
    <row r="44" spans="1:8" s="435" customFormat="1">
      <c r="D44" s="434" t="s">
        <v>449</v>
      </c>
      <c r="E44" s="1142">
        <v>0</v>
      </c>
      <c r="F44" s="435">
        <v>0</v>
      </c>
      <c r="G44" s="435">
        <v>200000</v>
      </c>
      <c r="H44" s="435">
        <v>0</v>
      </c>
    </row>
    <row r="45" spans="1:8" s="435" customFormat="1">
      <c r="D45" s="434" t="s">
        <v>23</v>
      </c>
      <c r="E45" s="1142">
        <v>5000</v>
      </c>
      <c r="F45" s="435">
        <v>0</v>
      </c>
      <c r="G45" s="435">
        <v>1389464</v>
      </c>
      <c r="H45" s="435">
        <v>0</v>
      </c>
    </row>
    <row r="46" spans="1:8" s="435" customFormat="1">
      <c r="D46" s="434" t="s">
        <v>477</v>
      </c>
      <c r="E46" s="1142">
        <v>0</v>
      </c>
      <c r="F46" s="435">
        <v>0</v>
      </c>
      <c r="G46" s="435">
        <v>2100000</v>
      </c>
      <c r="H46" s="435">
        <v>0</v>
      </c>
    </row>
    <row r="47" spans="1:8" s="435" customFormat="1">
      <c r="D47" s="434" t="s">
        <v>243</v>
      </c>
      <c r="E47" s="1142">
        <v>0</v>
      </c>
      <c r="F47" s="435">
        <v>0</v>
      </c>
      <c r="G47" s="435">
        <v>700000</v>
      </c>
      <c r="H47" s="435">
        <v>0</v>
      </c>
    </row>
    <row r="48" spans="1:8" s="435" customFormat="1">
      <c r="D48" s="434" t="s">
        <v>652</v>
      </c>
      <c r="E48" s="1142">
        <v>204000</v>
      </c>
      <c r="F48" s="435">
        <v>0</v>
      </c>
    </row>
    <row r="49" spans="1:8" s="435" customFormat="1">
      <c r="D49" s="434" t="s">
        <v>1207</v>
      </c>
      <c r="E49" s="435">
        <v>0</v>
      </c>
      <c r="F49" s="435">
        <v>0</v>
      </c>
      <c r="G49" s="435">
        <v>1000000</v>
      </c>
      <c r="H49" s="435">
        <v>0</v>
      </c>
    </row>
    <row r="50" spans="1:8" s="435" customFormat="1">
      <c r="D50" s="434" t="s">
        <v>1208</v>
      </c>
      <c r="E50" s="435">
        <v>0</v>
      </c>
      <c r="F50" s="435">
        <v>0</v>
      </c>
      <c r="G50" s="435">
        <v>1031300</v>
      </c>
      <c r="H50" s="435">
        <v>0</v>
      </c>
    </row>
    <row r="51" spans="1:8" s="435" customFormat="1">
      <c r="D51" s="434" t="s">
        <v>1209</v>
      </c>
      <c r="E51" s="435">
        <v>0</v>
      </c>
      <c r="F51" s="435">
        <v>0</v>
      </c>
      <c r="G51" s="435">
        <v>927610</v>
      </c>
      <c r="H51" s="435">
        <v>0</v>
      </c>
    </row>
    <row r="52" spans="1:8">
      <c r="A52" s="435"/>
      <c r="B52" s="435"/>
      <c r="C52" s="435"/>
      <c r="D52" s="434" t="s">
        <v>1210</v>
      </c>
      <c r="E52" s="435">
        <v>0</v>
      </c>
      <c r="F52" s="435">
        <v>0</v>
      </c>
      <c r="G52" s="435">
        <v>300000</v>
      </c>
      <c r="H52" s="435">
        <v>0</v>
      </c>
    </row>
    <row r="53" spans="1:8">
      <c r="A53" s="435"/>
      <c r="B53" s="435"/>
      <c r="C53" s="435"/>
      <c r="D53" s="434" t="s">
        <v>1211</v>
      </c>
      <c r="E53" s="435">
        <v>0</v>
      </c>
      <c r="F53" s="435">
        <v>0</v>
      </c>
      <c r="G53" s="435">
        <v>4945556</v>
      </c>
      <c r="H53" s="435">
        <v>0</v>
      </c>
    </row>
    <row r="54" spans="1:8">
      <c r="C54" s="434" t="s">
        <v>711</v>
      </c>
      <c r="D54" s="435"/>
      <c r="E54" s="435">
        <v>227000</v>
      </c>
      <c r="F54" s="435">
        <v>0</v>
      </c>
      <c r="G54" s="435">
        <v>13793930</v>
      </c>
      <c r="H54" s="435">
        <v>0</v>
      </c>
    </row>
    <row r="55" spans="1:8">
      <c r="C55" s="14" t="s">
        <v>122</v>
      </c>
      <c r="D55" s="14" t="s">
        <v>334</v>
      </c>
      <c r="E55">
        <v>17722075</v>
      </c>
      <c r="F55">
        <v>0</v>
      </c>
      <c r="G55">
        <v>16866441</v>
      </c>
      <c r="H55">
        <v>0</v>
      </c>
    </row>
    <row r="56" spans="1:8">
      <c r="C56" s="14" t="s">
        <v>712</v>
      </c>
      <c r="E56">
        <v>17722075</v>
      </c>
      <c r="F56">
        <v>0</v>
      </c>
      <c r="G56">
        <v>16866441</v>
      </c>
      <c r="H56">
        <v>0</v>
      </c>
    </row>
    <row r="57" spans="1:8">
      <c r="C57" s="14" t="s">
        <v>129</v>
      </c>
      <c r="D57" s="14" t="s">
        <v>127</v>
      </c>
      <c r="E57">
        <v>1153920</v>
      </c>
      <c r="F57">
        <v>0</v>
      </c>
      <c r="G57">
        <v>0</v>
      </c>
      <c r="H57">
        <v>0</v>
      </c>
    </row>
    <row r="58" spans="1:8">
      <c r="D58" s="14" t="s">
        <v>128</v>
      </c>
      <c r="E58">
        <v>6800</v>
      </c>
      <c r="F58">
        <v>0</v>
      </c>
      <c r="G58">
        <v>6800</v>
      </c>
      <c r="H58">
        <v>0</v>
      </c>
    </row>
    <row r="59" spans="1:8">
      <c r="D59" s="14" t="s">
        <v>133</v>
      </c>
      <c r="E59">
        <v>250000</v>
      </c>
      <c r="F59">
        <v>0</v>
      </c>
      <c r="G59">
        <v>50000</v>
      </c>
      <c r="H59">
        <v>0</v>
      </c>
    </row>
    <row r="60" spans="1:8">
      <c r="D60" s="14" t="s">
        <v>134</v>
      </c>
      <c r="E60">
        <v>3522100</v>
      </c>
      <c r="F60">
        <v>0</v>
      </c>
      <c r="G60">
        <v>322100</v>
      </c>
      <c r="H60">
        <v>0</v>
      </c>
    </row>
    <row r="61" spans="1:8">
      <c r="D61" s="14" t="s">
        <v>136</v>
      </c>
      <c r="E61">
        <v>200000</v>
      </c>
      <c r="F61">
        <v>0</v>
      </c>
      <c r="G61">
        <v>200000</v>
      </c>
      <c r="H61">
        <v>0</v>
      </c>
    </row>
    <row r="62" spans="1:8">
      <c r="D62" s="14" t="s">
        <v>137</v>
      </c>
      <c r="E62">
        <v>10777</v>
      </c>
      <c r="F62">
        <v>0</v>
      </c>
      <c r="G62">
        <v>10777</v>
      </c>
      <c r="H62">
        <v>0</v>
      </c>
    </row>
    <row r="63" spans="1:8">
      <c r="C63" s="14" t="s">
        <v>713</v>
      </c>
      <c r="E63">
        <v>5143597</v>
      </c>
      <c r="F63">
        <v>0</v>
      </c>
      <c r="G63">
        <v>589677</v>
      </c>
      <c r="H63">
        <v>0</v>
      </c>
    </row>
    <row r="64" spans="1:8">
      <c r="B64" s="14" t="s">
        <v>681</v>
      </c>
      <c r="E64">
        <v>23092672</v>
      </c>
      <c r="F64">
        <v>0</v>
      </c>
      <c r="G64">
        <v>31250048</v>
      </c>
      <c r="H64">
        <v>0</v>
      </c>
    </row>
    <row r="65" spans="1:8">
      <c r="A65" s="14">
        <v>6</v>
      </c>
      <c r="B65" s="14" t="s">
        <v>15</v>
      </c>
      <c r="C65" s="14" t="s">
        <v>16</v>
      </c>
      <c r="D65" s="14" t="s">
        <v>32</v>
      </c>
      <c r="E65">
        <v>0</v>
      </c>
      <c r="F65">
        <v>33034</v>
      </c>
      <c r="G65">
        <v>451631</v>
      </c>
      <c r="H65">
        <v>0</v>
      </c>
    </row>
    <row r="66" spans="1:8">
      <c r="D66" s="14" t="s">
        <v>31</v>
      </c>
      <c r="E66">
        <v>509902</v>
      </c>
      <c r="F66">
        <v>0</v>
      </c>
      <c r="G66">
        <v>1519590</v>
      </c>
      <c r="H66">
        <v>0</v>
      </c>
    </row>
    <row r="67" spans="1:8">
      <c r="D67" s="14" t="s">
        <v>33</v>
      </c>
      <c r="E67">
        <v>0</v>
      </c>
      <c r="F67">
        <v>0</v>
      </c>
      <c r="G67">
        <v>5363383.43</v>
      </c>
      <c r="H67">
        <v>0</v>
      </c>
    </row>
    <row r="68" spans="1:8">
      <c r="D68" s="14" t="s">
        <v>17</v>
      </c>
      <c r="E68">
        <v>13460226</v>
      </c>
      <c r="F68">
        <v>0</v>
      </c>
      <c r="G68">
        <v>10176297</v>
      </c>
      <c r="H68">
        <v>0</v>
      </c>
    </row>
    <row r="69" spans="1:8">
      <c r="D69" s="14" t="s">
        <v>74</v>
      </c>
      <c r="E69">
        <v>0</v>
      </c>
      <c r="F69">
        <v>0</v>
      </c>
      <c r="G69">
        <v>2902069</v>
      </c>
      <c r="H69">
        <v>0</v>
      </c>
    </row>
    <row r="70" spans="1:8">
      <c r="D70" s="14" t="s">
        <v>539</v>
      </c>
      <c r="E70">
        <v>1442225</v>
      </c>
      <c r="F70">
        <v>0</v>
      </c>
    </row>
    <row r="71" spans="1:8">
      <c r="D71" s="14" t="s">
        <v>425</v>
      </c>
      <c r="E71">
        <v>0</v>
      </c>
      <c r="F71">
        <v>0</v>
      </c>
      <c r="G71">
        <v>876095</v>
      </c>
      <c r="H71">
        <v>0</v>
      </c>
    </row>
    <row r="72" spans="1:8">
      <c r="D72" s="14" t="s">
        <v>541</v>
      </c>
      <c r="E72">
        <v>2282129</v>
      </c>
      <c r="F72">
        <v>0</v>
      </c>
    </row>
    <row r="73" spans="1:8">
      <c r="D73" s="14" t="s">
        <v>99</v>
      </c>
      <c r="E73">
        <v>10899010</v>
      </c>
      <c r="F73">
        <v>0</v>
      </c>
      <c r="G73">
        <v>0</v>
      </c>
      <c r="H73">
        <v>0</v>
      </c>
    </row>
    <row r="74" spans="1:8">
      <c r="D74" s="14" t="s">
        <v>100</v>
      </c>
      <c r="E74">
        <v>305863</v>
      </c>
      <c r="F74">
        <v>0</v>
      </c>
      <c r="G74">
        <v>9482492</v>
      </c>
      <c r="H74">
        <v>0</v>
      </c>
    </row>
    <row r="75" spans="1:8">
      <c r="D75" s="14" t="s">
        <v>104</v>
      </c>
      <c r="E75">
        <v>456870</v>
      </c>
      <c r="F75">
        <v>0</v>
      </c>
      <c r="G75">
        <v>0</v>
      </c>
      <c r="H75">
        <v>0</v>
      </c>
    </row>
    <row r="76" spans="1:8">
      <c r="D76" s="14" t="s">
        <v>119</v>
      </c>
      <c r="E76">
        <v>0</v>
      </c>
      <c r="F76">
        <v>0</v>
      </c>
      <c r="G76">
        <v>344368</v>
      </c>
      <c r="H76">
        <v>0</v>
      </c>
    </row>
    <row r="77" spans="1:8">
      <c r="D77" s="14" t="s">
        <v>242</v>
      </c>
      <c r="E77">
        <v>231314</v>
      </c>
      <c r="F77">
        <v>0</v>
      </c>
      <c r="G77">
        <v>0</v>
      </c>
      <c r="H77">
        <v>0</v>
      </c>
    </row>
    <row r="78" spans="1:8">
      <c r="D78" s="14" t="s">
        <v>496</v>
      </c>
      <c r="E78">
        <v>563126</v>
      </c>
      <c r="F78">
        <v>0</v>
      </c>
      <c r="G78">
        <v>488208</v>
      </c>
      <c r="H78">
        <v>0</v>
      </c>
    </row>
    <row r="79" spans="1:8">
      <c r="D79" s="14" t="s">
        <v>245</v>
      </c>
      <c r="E79">
        <v>0</v>
      </c>
      <c r="F79">
        <v>0</v>
      </c>
      <c r="G79">
        <v>1310924</v>
      </c>
      <c r="H79">
        <v>0</v>
      </c>
    </row>
    <row r="80" spans="1:8">
      <c r="D80" s="14" t="s">
        <v>254</v>
      </c>
      <c r="E80">
        <v>23215022</v>
      </c>
      <c r="F80">
        <v>0</v>
      </c>
      <c r="G80">
        <v>42218801</v>
      </c>
      <c r="H80">
        <v>0</v>
      </c>
    </row>
    <row r="81" spans="4:8">
      <c r="D81" s="14" t="s">
        <v>284</v>
      </c>
      <c r="E81">
        <v>311747</v>
      </c>
      <c r="F81">
        <v>0</v>
      </c>
      <c r="G81">
        <v>359743</v>
      </c>
      <c r="H81">
        <v>0</v>
      </c>
    </row>
    <row r="82" spans="4:8">
      <c r="D82" s="14" t="s">
        <v>293</v>
      </c>
      <c r="E82">
        <v>0</v>
      </c>
      <c r="F82">
        <v>0</v>
      </c>
      <c r="G82">
        <v>0</v>
      </c>
      <c r="H82">
        <v>733</v>
      </c>
    </row>
    <row r="83" spans="4:8">
      <c r="D83" s="14" t="s">
        <v>305</v>
      </c>
      <c r="E83">
        <v>2898184</v>
      </c>
      <c r="F83">
        <v>0</v>
      </c>
      <c r="G83">
        <v>12971715</v>
      </c>
      <c r="H83">
        <v>0</v>
      </c>
    </row>
    <row r="84" spans="4:8">
      <c r="D84" s="14" t="s">
        <v>343</v>
      </c>
      <c r="E84">
        <v>960861.5</v>
      </c>
      <c r="F84">
        <v>0</v>
      </c>
      <c r="G84">
        <v>1197020</v>
      </c>
      <c r="H84">
        <v>0</v>
      </c>
    </row>
    <row r="85" spans="4:8">
      <c r="D85" s="14" t="s">
        <v>344</v>
      </c>
      <c r="E85">
        <v>0</v>
      </c>
      <c r="F85">
        <v>0</v>
      </c>
      <c r="G85">
        <v>14451586</v>
      </c>
      <c r="H85">
        <v>0</v>
      </c>
    </row>
    <row r="86" spans="4:8">
      <c r="D86" s="14" t="s">
        <v>469</v>
      </c>
      <c r="E86">
        <v>28916252</v>
      </c>
      <c r="F86">
        <v>0</v>
      </c>
      <c r="G86">
        <v>4622711</v>
      </c>
      <c r="H86">
        <v>0</v>
      </c>
    </row>
    <row r="87" spans="4:8">
      <c r="D87" s="14" t="s">
        <v>632</v>
      </c>
      <c r="E87">
        <v>196757</v>
      </c>
      <c r="F87">
        <v>0</v>
      </c>
    </row>
    <row r="88" spans="4:8">
      <c r="D88" s="14" t="s">
        <v>366</v>
      </c>
      <c r="E88">
        <v>515492</v>
      </c>
      <c r="F88">
        <v>0</v>
      </c>
      <c r="G88">
        <v>3429284</v>
      </c>
      <c r="H88">
        <v>0</v>
      </c>
    </row>
    <row r="89" spans="4:8">
      <c r="D89" s="14" t="s">
        <v>44</v>
      </c>
      <c r="E89">
        <v>5613955</v>
      </c>
      <c r="F89">
        <v>0</v>
      </c>
      <c r="G89">
        <v>1231667</v>
      </c>
      <c r="H89">
        <v>0</v>
      </c>
    </row>
    <row r="90" spans="4:8">
      <c r="D90" s="14" t="s">
        <v>382</v>
      </c>
      <c r="E90">
        <v>0</v>
      </c>
      <c r="F90">
        <v>0</v>
      </c>
      <c r="G90">
        <v>1020644</v>
      </c>
      <c r="H90">
        <v>0</v>
      </c>
    </row>
    <row r="91" spans="4:8">
      <c r="D91" s="14" t="s">
        <v>383</v>
      </c>
      <c r="E91">
        <v>0</v>
      </c>
      <c r="F91">
        <v>0</v>
      </c>
      <c r="G91">
        <v>5205371</v>
      </c>
      <c r="H91">
        <v>0</v>
      </c>
    </row>
    <row r="92" spans="4:8">
      <c r="D92" s="14" t="s">
        <v>384</v>
      </c>
      <c r="E92">
        <v>886344</v>
      </c>
      <c r="F92">
        <v>0</v>
      </c>
      <c r="G92">
        <v>557086</v>
      </c>
      <c r="H92">
        <v>0</v>
      </c>
    </row>
    <row r="93" spans="4:8">
      <c r="D93" s="14" t="s">
        <v>476</v>
      </c>
      <c r="E93">
        <v>0</v>
      </c>
      <c r="F93">
        <v>0</v>
      </c>
      <c r="G93">
        <v>1005946</v>
      </c>
      <c r="H93">
        <v>0</v>
      </c>
    </row>
    <row r="94" spans="4:8">
      <c r="D94" s="14" t="s">
        <v>14</v>
      </c>
      <c r="E94">
        <v>152951</v>
      </c>
      <c r="F94">
        <v>0</v>
      </c>
      <c r="G94">
        <v>1958488</v>
      </c>
      <c r="H94">
        <v>0</v>
      </c>
    </row>
    <row r="95" spans="4:8">
      <c r="D95" s="14" t="s">
        <v>422</v>
      </c>
      <c r="E95">
        <v>0</v>
      </c>
      <c r="F95">
        <v>0</v>
      </c>
      <c r="G95">
        <v>365534</v>
      </c>
      <c r="H95">
        <v>0</v>
      </c>
    </row>
    <row r="96" spans="4:8">
      <c r="D96" s="14" t="s">
        <v>516</v>
      </c>
      <c r="E96">
        <v>22024573.640000001</v>
      </c>
      <c r="F96">
        <v>0</v>
      </c>
      <c r="G96">
        <v>43044826</v>
      </c>
      <c r="H96">
        <v>0</v>
      </c>
    </row>
    <row r="97" spans="1:8">
      <c r="D97" s="14" t="s">
        <v>2764</v>
      </c>
      <c r="E97">
        <v>0</v>
      </c>
      <c r="F97">
        <v>7528</v>
      </c>
      <c r="G97">
        <v>0</v>
      </c>
      <c r="H97">
        <v>0</v>
      </c>
    </row>
    <row r="98" spans="1:8">
      <c r="C98" s="14" t="s">
        <v>714</v>
      </c>
      <c r="E98">
        <v>115842804.14</v>
      </c>
      <c r="F98">
        <v>40562</v>
      </c>
      <c r="G98">
        <v>166555479.43000001</v>
      </c>
      <c r="H98">
        <v>733</v>
      </c>
    </row>
    <row r="99" spans="1:8">
      <c r="B99" s="14" t="s">
        <v>682</v>
      </c>
      <c r="E99">
        <v>115842804.14</v>
      </c>
      <c r="F99">
        <v>40562</v>
      </c>
      <c r="G99">
        <v>166555479.43000001</v>
      </c>
      <c r="H99">
        <v>733</v>
      </c>
    </row>
    <row r="100" spans="1:8">
      <c r="A100" s="14">
        <v>7</v>
      </c>
      <c r="B100" s="14" t="s">
        <v>94</v>
      </c>
      <c r="C100" s="14" t="s">
        <v>363</v>
      </c>
      <c r="D100" s="14" t="s">
        <v>362</v>
      </c>
      <c r="E100">
        <v>9459.64</v>
      </c>
      <c r="F100">
        <v>0</v>
      </c>
      <c r="G100">
        <v>10757.64</v>
      </c>
      <c r="H100">
        <v>0</v>
      </c>
    </row>
    <row r="101" spans="1:8">
      <c r="C101" s="14" t="s">
        <v>715</v>
      </c>
      <c r="E101">
        <v>9459.64</v>
      </c>
      <c r="F101">
        <v>0</v>
      </c>
      <c r="G101">
        <v>10757.64</v>
      </c>
      <c r="H101">
        <v>0</v>
      </c>
    </row>
    <row r="102" spans="1:8">
      <c r="C102" s="14" t="s">
        <v>95</v>
      </c>
      <c r="D102" s="14" t="s">
        <v>93</v>
      </c>
      <c r="E102">
        <v>230316</v>
      </c>
      <c r="F102">
        <v>0</v>
      </c>
      <c r="G102">
        <v>68389</v>
      </c>
      <c r="H102">
        <v>0</v>
      </c>
    </row>
    <row r="103" spans="1:8">
      <c r="C103" s="14" t="s">
        <v>716</v>
      </c>
      <c r="E103">
        <v>230316</v>
      </c>
      <c r="F103">
        <v>0</v>
      </c>
      <c r="G103">
        <v>68389</v>
      </c>
      <c r="H103">
        <v>0</v>
      </c>
    </row>
    <row r="104" spans="1:8">
      <c r="B104" s="14" t="s">
        <v>683</v>
      </c>
      <c r="E104">
        <v>239775.64</v>
      </c>
      <c r="F104">
        <v>0</v>
      </c>
      <c r="G104">
        <v>79146.64</v>
      </c>
      <c r="H104">
        <v>0</v>
      </c>
    </row>
    <row r="105" spans="1:8">
      <c r="A105" s="14">
        <v>9</v>
      </c>
      <c r="B105" s="14" t="s">
        <v>37</v>
      </c>
      <c r="C105" s="14" t="s">
        <v>38</v>
      </c>
      <c r="D105" s="14" t="s">
        <v>75</v>
      </c>
      <c r="E105">
        <v>17500</v>
      </c>
      <c r="F105">
        <v>0</v>
      </c>
      <c r="G105">
        <v>5000</v>
      </c>
      <c r="H105">
        <v>0</v>
      </c>
    </row>
    <row r="106" spans="1:8">
      <c r="D106" s="14" t="s">
        <v>151</v>
      </c>
      <c r="E106">
        <v>23000</v>
      </c>
      <c r="F106">
        <v>0</v>
      </c>
      <c r="G106">
        <v>0</v>
      </c>
      <c r="H106">
        <v>0</v>
      </c>
    </row>
    <row r="107" spans="1:8">
      <c r="D107" s="14" t="s">
        <v>153</v>
      </c>
      <c r="E107">
        <v>34000</v>
      </c>
      <c r="F107">
        <v>0</v>
      </c>
      <c r="G107">
        <v>54000</v>
      </c>
      <c r="H107">
        <v>0</v>
      </c>
    </row>
    <row r="108" spans="1:8">
      <c r="D108" s="14" t="s">
        <v>205</v>
      </c>
      <c r="E108">
        <v>34000</v>
      </c>
      <c r="F108">
        <v>0</v>
      </c>
      <c r="G108">
        <v>15000</v>
      </c>
      <c r="H108">
        <v>0</v>
      </c>
    </row>
    <row r="109" spans="1:8">
      <c r="D109" s="14" t="s">
        <v>580</v>
      </c>
      <c r="E109">
        <v>1000</v>
      </c>
      <c r="F109">
        <v>0</v>
      </c>
    </row>
    <row r="110" spans="1:8">
      <c r="D110" s="14" t="s">
        <v>246</v>
      </c>
      <c r="E110">
        <v>27000</v>
      </c>
      <c r="F110">
        <v>0</v>
      </c>
      <c r="G110">
        <v>20000</v>
      </c>
      <c r="H110">
        <v>0</v>
      </c>
    </row>
    <row r="111" spans="1:8">
      <c r="D111" s="14" t="s">
        <v>251</v>
      </c>
      <c r="E111">
        <v>2000</v>
      </c>
      <c r="F111">
        <v>0</v>
      </c>
      <c r="G111">
        <v>14000</v>
      </c>
      <c r="H111">
        <v>0</v>
      </c>
    </row>
    <row r="112" spans="1:8">
      <c r="D112" s="14" t="s">
        <v>265</v>
      </c>
      <c r="E112">
        <v>21000</v>
      </c>
      <c r="F112">
        <v>0</v>
      </c>
      <c r="G112">
        <v>5000</v>
      </c>
      <c r="H112">
        <v>0</v>
      </c>
    </row>
    <row r="113" spans="4:8">
      <c r="D113" s="14" t="s">
        <v>268</v>
      </c>
      <c r="E113">
        <v>32000</v>
      </c>
      <c r="F113">
        <v>0</v>
      </c>
      <c r="G113">
        <v>39000</v>
      </c>
      <c r="H113">
        <v>0</v>
      </c>
    </row>
    <row r="114" spans="4:8">
      <c r="D114" s="14" t="s">
        <v>584</v>
      </c>
      <c r="E114">
        <v>3000</v>
      </c>
      <c r="F114">
        <v>0</v>
      </c>
    </row>
    <row r="115" spans="4:8">
      <c r="D115" s="14" t="s">
        <v>272</v>
      </c>
      <c r="E115">
        <v>0</v>
      </c>
      <c r="F115">
        <v>0</v>
      </c>
      <c r="G115">
        <v>9000</v>
      </c>
      <c r="H115">
        <v>0</v>
      </c>
    </row>
    <row r="116" spans="4:8">
      <c r="D116" s="14" t="s">
        <v>455</v>
      </c>
      <c r="E116">
        <v>27000</v>
      </c>
      <c r="F116">
        <v>0</v>
      </c>
      <c r="G116">
        <v>53000</v>
      </c>
      <c r="H116">
        <v>0</v>
      </c>
    </row>
    <row r="117" spans="4:8">
      <c r="D117" s="14" t="s">
        <v>274</v>
      </c>
      <c r="E117">
        <v>14000</v>
      </c>
      <c r="F117">
        <v>0</v>
      </c>
      <c r="G117">
        <v>9000</v>
      </c>
      <c r="H117">
        <v>0</v>
      </c>
    </row>
    <row r="118" spans="4:8">
      <c r="D118" s="14" t="s">
        <v>40</v>
      </c>
      <c r="E118">
        <v>7000</v>
      </c>
      <c r="F118">
        <v>0</v>
      </c>
      <c r="G118">
        <v>62000</v>
      </c>
      <c r="H118">
        <v>0</v>
      </c>
    </row>
    <row r="119" spans="4:8">
      <c r="D119" s="14" t="s">
        <v>459</v>
      </c>
      <c r="E119">
        <v>0</v>
      </c>
      <c r="F119">
        <v>0</v>
      </c>
      <c r="G119">
        <v>8000</v>
      </c>
      <c r="H119">
        <v>0</v>
      </c>
    </row>
    <row r="120" spans="4:8">
      <c r="D120" s="14" t="s">
        <v>612</v>
      </c>
      <c r="E120">
        <v>7500</v>
      </c>
      <c r="F120">
        <v>0</v>
      </c>
    </row>
    <row r="121" spans="4:8">
      <c r="D121" s="14" t="s">
        <v>466</v>
      </c>
      <c r="E121">
        <v>0</v>
      </c>
      <c r="F121">
        <v>0</v>
      </c>
      <c r="G121">
        <v>4000</v>
      </c>
      <c r="H121">
        <v>0</v>
      </c>
    </row>
    <row r="122" spans="4:8">
      <c r="D122" s="14" t="s">
        <v>365</v>
      </c>
      <c r="E122">
        <v>0</v>
      </c>
      <c r="F122">
        <v>0</v>
      </c>
      <c r="G122">
        <v>2000</v>
      </c>
      <c r="H122">
        <v>0</v>
      </c>
    </row>
    <row r="123" spans="4:8">
      <c r="D123" s="14" t="s">
        <v>470</v>
      </c>
      <c r="E123">
        <v>0</v>
      </c>
      <c r="F123">
        <v>0</v>
      </c>
      <c r="G123">
        <v>14000</v>
      </c>
      <c r="H123">
        <v>0</v>
      </c>
    </row>
    <row r="124" spans="4:8">
      <c r="D124" s="14" t="s">
        <v>479</v>
      </c>
      <c r="E124">
        <v>0</v>
      </c>
      <c r="F124">
        <v>0</v>
      </c>
      <c r="G124">
        <v>5000</v>
      </c>
      <c r="H124">
        <v>0</v>
      </c>
    </row>
    <row r="125" spans="4:8">
      <c r="D125" s="14" t="s">
        <v>39</v>
      </c>
      <c r="E125">
        <v>0</v>
      </c>
      <c r="F125">
        <v>0</v>
      </c>
      <c r="G125">
        <v>1500</v>
      </c>
      <c r="H125">
        <v>0</v>
      </c>
    </row>
    <row r="126" spans="4:8">
      <c r="D126" s="14" t="s">
        <v>400</v>
      </c>
      <c r="E126">
        <v>27000</v>
      </c>
      <c r="F126">
        <v>0</v>
      </c>
      <c r="G126">
        <v>11000</v>
      </c>
      <c r="H126">
        <v>0</v>
      </c>
    </row>
    <row r="127" spans="4:8">
      <c r="D127" s="14" t="s">
        <v>480</v>
      </c>
      <c r="E127">
        <v>0</v>
      </c>
      <c r="F127">
        <v>0</v>
      </c>
      <c r="G127">
        <v>1000</v>
      </c>
      <c r="H127">
        <v>0</v>
      </c>
    </row>
    <row r="128" spans="4:8">
      <c r="D128" s="14" t="s">
        <v>403</v>
      </c>
      <c r="E128">
        <v>0</v>
      </c>
      <c r="F128">
        <v>0</v>
      </c>
      <c r="G128">
        <v>14000</v>
      </c>
      <c r="H128">
        <v>0</v>
      </c>
    </row>
    <row r="129" spans="1:8">
      <c r="D129" s="14" t="s">
        <v>404</v>
      </c>
      <c r="E129">
        <v>67000</v>
      </c>
      <c r="F129">
        <v>0</v>
      </c>
      <c r="G129">
        <v>0</v>
      </c>
      <c r="H129">
        <v>0</v>
      </c>
    </row>
    <row r="130" spans="1:8">
      <c r="C130" s="14" t="s">
        <v>717</v>
      </c>
      <c r="E130">
        <v>344000</v>
      </c>
      <c r="F130">
        <v>0</v>
      </c>
      <c r="G130">
        <v>345500</v>
      </c>
      <c r="H130">
        <v>0</v>
      </c>
    </row>
    <row r="131" spans="1:8">
      <c r="B131" s="14" t="s">
        <v>684</v>
      </c>
      <c r="E131">
        <v>344000</v>
      </c>
      <c r="F131">
        <v>0</v>
      </c>
      <c r="G131">
        <v>345500</v>
      </c>
      <c r="H131">
        <v>0</v>
      </c>
    </row>
    <row r="132" spans="1:8">
      <c r="A132" s="14">
        <v>10</v>
      </c>
      <c r="B132" s="14" t="s">
        <v>34</v>
      </c>
      <c r="C132" s="14" t="s">
        <v>35</v>
      </c>
      <c r="D132" s="14" t="s">
        <v>36</v>
      </c>
      <c r="E132">
        <v>0</v>
      </c>
      <c r="F132">
        <v>0</v>
      </c>
      <c r="G132">
        <v>0</v>
      </c>
      <c r="H132">
        <v>0</v>
      </c>
    </row>
    <row r="133" spans="1:8">
      <c r="D133" s="14" t="s">
        <v>536</v>
      </c>
      <c r="E133">
        <v>0</v>
      </c>
      <c r="F133">
        <v>0</v>
      </c>
    </row>
    <row r="134" spans="1:8">
      <c r="D134" s="14" t="s">
        <v>112</v>
      </c>
      <c r="E134">
        <v>302862</v>
      </c>
      <c r="F134">
        <v>0</v>
      </c>
      <c r="G134">
        <v>0</v>
      </c>
      <c r="H134">
        <v>0</v>
      </c>
    </row>
    <row r="135" spans="1:8">
      <c r="D135" s="14" t="s">
        <v>264</v>
      </c>
      <c r="E135">
        <v>7944212</v>
      </c>
      <c r="F135">
        <v>0</v>
      </c>
      <c r="G135">
        <v>91778</v>
      </c>
      <c r="H135">
        <v>0</v>
      </c>
    </row>
    <row r="136" spans="1:8">
      <c r="D136" s="14" t="s">
        <v>281</v>
      </c>
      <c r="E136">
        <v>0</v>
      </c>
      <c r="F136">
        <v>0</v>
      </c>
      <c r="G136">
        <v>20000</v>
      </c>
      <c r="H136">
        <v>0</v>
      </c>
    </row>
    <row r="137" spans="1:8">
      <c r="D137" s="14" t="s">
        <v>658</v>
      </c>
      <c r="E137">
        <v>175000</v>
      </c>
      <c r="F137">
        <v>0</v>
      </c>
    </row>
    <row r="138" spans="1:8">
      <c r="D138" s="14" t="s">
        <v>512</v>
      </c>
      <c r="E138">
        <v>0</v>
      </c>
      <c r="F138">
        <v>0</v>
      </c>
      <c r="G138">
        <v>4265067.0199999996</v>
      </c>
      <c r="H138">
        <v>0</v>
      </c>
    </row>
    <row r="139" spans="1:8">
      <c r="C139" s="14" t="s">
        <v>718</v>
      </c>
      <c r="E139">
        <v>8422074</v>
      </c>
      <c r="F139">
        <v>0</v>
      </c>
      <c r="G139">
        <v>4376845.0199999996</v>
      </c>
      <c r="H139">
        <v>0</v>
      </c>
    </row>
    <row r="140" spans="1:8">
      <c r="C140" s="14" t="s">
        <v>468</v>
      </c>
      <c r="D140" s="14" t="s">
        <v>467</v>
      </c>
      <c r="E140">
        <v>221984</v>
      </c>
      <c r="F140">
        <v>0</v>
      </c>
      <c r="G140">
        <v>413262</v>
      </c>
      <c r="H140">
        <v>0</v>
      </c>
    </row>
    <row r="141" spans="1:8">
      <c r="C141" s="14" t="s">
        <v>719</v>
      </c>
      <c r="E141">
        <v>221984</v>
      </c>
      <c r="F141">
        <v>0</v>
      </c>
      <c r="G141">
        <v>413262</v>
      </c>
      <c r="H141">
        <v>0</v>
      </c>
    </row>
    <row r="142" spans="1:8">
      <c r="C142" s="14" t="s">
        <v>219</v>
      </c>
      <c r="D142" s="14" t="s">
        <v>451</v>
      </c>
      <c r="E142">
        <v>0</v>
      </c>
      <c r="F142">
        <v>0</v>
      </c>
      <c r="G142">
        <v>6177</v>
      </c>
      <c r="H142">
        <v>0</v>
      </c>
    </row>
    <row r="143" spans="1:8">
      <c r="D143" s="14" t="s">
        <v>218</v>
      </c>
      <c r="E143">
        <v>176191</v>
      </c>
      <c r="F143">
        <v>0</v>
      </c>
      <c r="G143">
        <v>360609</v>
      </c>
      <c r="H143">
        <v>0</v>
      </c>
    </row>
    <row r="144" spans="1:8">
      <c r="C144" s="14" t="s">
        <v>720</v>
      </c>
      <c r="E144">
        <v>176191</v>
      </c>
      <c r="F144">
        <v>0</v>
      </c>
      <c r="G144">
        <v>366786</v>
      </c>
      <c r="H144">
        <v>0</v>
      </c>
    </row>
    <row r="145" spans="1:8">
      <c r="C145" s="14" t="s">
        <v>221</v>
      </c>
      <c r="D145" s="14" t="s">
        <v>220</v>
      </c>
      <c r="E145">
        <v>458043</v>
      </c>
      <c r="F145">
        <v>0</v>
      </c>
      <c r="G145">
        <v>579346</v>
      </c>
      <c r="H145">
        <v>0</v>
      </c>
    </row>
    <row r="146" spans="1:8">
      <c r="D146" s="14" t="s">
        <v>306</v>
      </c>
      <c r="E146">
        <v>758892</v>
      </c>
      <c r="F146">
        <v>0</v>
      </c>
      <c r="G146">
        <v>519498</v>
      </c>
      <c r="H146">
        <v>0</v>
      </c>
    </row>
    <row r="147" spans="1:8">
      <c r="C147" s="14" t="s">
        <v>721</v>
      </c>
      <c r="E147">
        <v>1216935</v>
      </c>
      <c r="F147">
        <v>0</v>
      </c>
      <c r="G147">
        <v>1098844</v>
      </c>
      <c r="H147">
        <v>0</v>
      </c>
    </row>
    <row r="148" spans="1:8">
      <c r="B148" s="14" t="s">
        <v>685</v>
      </c>
      <c r="E148">
        <v>10037184</v>
      </c>
      <c r="F148">
        <v>0</v>
      </c>
      <c r="G148">
        <v>6255737.0199999996</v>
      </c>
      <c r="H148">
        <v>0</v>
      </c>
    </row>
    <row r="149" spans="1:8">
      <c r="A149" s="14">
        <v>11</v>
      </c>
      <c r="B149" s="14" t="s">
        <v>27</v>
      </c>
      <c r="C149" s="14" t="s">
        <v>28</v>
      </c>
      <c r="D149" s="14" t="s">
        <v>327</v>
      </c>
      <c r="E149">
        <v>0</v>
      </c>
      <c r="F149">
        <v>0</v>
      </c>
      <c r="G149">
        <v>3500000</v>
      </c>
      <c r="H149">
        <v>0</v>
      </c>
    </row>
    <row r="150" spans="1:8">
      <c r="D150" s="14" t="s">
        <v>328</v>
      </c>
      <c r="E150">
        <v>17190</v>
      </c>
      <c r="F150">
        <v>0</v>
      </c>
      <c r="G150">
        <v>17190</v>
      </c>
      <c r="H150">
        <v>0</v>
      </c>
    </row>
    <row r="151" spans="1:8">
      <c r="D151" s="14" t="s">
        <v>573</v>
      </c>
      <c r="E151">
        <v>1891381</v>
      </c>
      <c r="F151">
        <v>0</v>
      </c>
    </row>
    <row r="152" spans="1:8">
      <c r="D152" s="14" t="s">
        <v>330</v>
      </c>
      <c r="E152">
        <v>88213</v>
      </c>
      <c r="F152">
        <v>0</v>
      </c>
      <c r="G152">
        <v>88213</v>
      </c>
      <c r="H152">
        <v>0</v>
      </c>
    </row>
    <row r="153" spans="1:8">
      <c r="D153" s="14" t="s">
        <v>326</v>
      </c>
      <c r="E153">
        <v>34285</v>
      </c>
      <c r="F153">
        <v>0</v>
      </c>
      <c r="G153">
        <v>34285</v>
      </c>
      <c r="H153">
        <v>0</v>
      </c>
    </row>
    <row r="154" spans="1:8">
      <c r="D154" s="14" t="s">
        <v>329</v>
      </c>
      <c r="E154">
        <v>122153</v>
      </c>
      <c r="F154">
        <v>0</v>
      </c>
      <c r="G154">
        <v>122153</v>
      </c>
      <c r="H154">
        <v>0</v>
      </c>
    </row>
    <row r="155" spans="1:8">
      <c r="D155" s="14" t="s">
        <v>331</v>
      </c>
      <c r="E155">
        <v>139678</v>
      </c>
      <c r="F155">
        <v>0</v>
      </c>
      <c r="G155">
        <v>139678</v>
      </c>
      <c r="H155">
        <v>0</v>
      </c>
    </row>
    <row r="156" spans="1:8">
      <c r="D156" s="14" t="s">
        <v>332</v>
      </c>
      <c r="E156">
        <v>271788</v>
      </c>
      <c r="F156">
        <v>0</v>
      </c>
      <c r="G156">
        <v>271788</v>
      </c>
      <c r="H156">
        <v>0</v>
      </c>
    </row>
    <row r="157" spans="1:8">
      <c r="D157" s="14" t="s">
        <v>640</v>
      </c>
      <c r="E157">
        <v>11611</v>
      </c>
      <c r="F157">
        <v>0</v>
      </c>
    </row>
    <row r="158" spans="1:8">
      <c r="D158" s="14" t="s">
        <v>481</v>
      </c>
      <c r="E158">
        <v>0</v>
      </c>
      <c r="F158">
        <v>0</v>
      </c>
      <c r="G158">
        <v>81429.8</v>
      </c>
      <c r="H158">
        <v>0</v>
      </c>
    </row>
    <row r="159" spans="1:8">
      <c r="D159" s="14" t="s">
        <v>639</v>
      </c>
      <c r="E159">
        <v>0</v>
      </c>
      <c r="F159">
        <v>0</v>
      </c>
    </row>
    <row r="160" spans="1:8">
      <c r="D160" s="14" t="s">
        <v>482</v>
      </c>
      <c r="E160">
        <v>24886</v>
      </c>
      <c r="F160">
        <v>0</v>
      </c>
      <c r="G160">
        <v>36262</v>
      </c>
      <c r="H160">
        <v>0</v>
      </c>
    </row>
    <row r="161" spans="1:8">
      <c r="D161" s="14" t="s">
        <v>641</v>
      </c>
      <c r="E161">
        <v>15998</v>
      </c>
      <c r="F161">
        <v>0</v>
      </c>
    </row>
    <row r="162" spans="1:8">
      <c r="D162" s="14" t="s">
        <v>642</v>
      </c>
      <c r="E162">
        <v>0</v>
      </c>
      <c r="F162">
        <v>0</v>
      </c>
    </row>
    <row r="163" spans="1:8">
      <c r="D163" s="14" t="s">
        <v>484</v>
      </c>
      <c r="E163">
        <v>0</v>
      </c>
      <c r="F163">
        <v>0</v>
      </c>
      <c r="G163">
        <v>616388</v>
      </c>
      <c r="H163">
        <v>0</v>
      </c>
    </row>
    <row r="164" spans="1:8">
      <c r="D164" s="14" t="s">
        <v>648</v>
      </c>
      <c r="E164">
        <v>933217.36</v>
      </c>
      <c r="F164">
        <v>0</v>
      </c>
    </row>
    <row r="165" spans="1:8">
      <c r="C165" s="14" t="s">
        <v>722</v>
      </c>
      <c r="E165">
        <v>3550400.36</v>
      </c>
      <c r="F165">
        <v>0</v>
      </c>
      <c r="G165">
        <v>4907386.8</v>
      </c>
      <c r="H165">
        <v>0</v>
      </c>
    </row>
    <row r="166" spans="1:8">
      <c r="B166" s="14" t="s">
        <v>686</v>
      </c>
      <c r="E166">
        <v>3550400.36</v>
      </c>
      <c r="F166">
        <v>0</v>
      </c>
      <c r="G166">
        <v>4907386.8</v>
      </c>
      <c r="H166">
        <v>0</v>
      </c>
    </row>
    <row r="167" spans="1:8">
      <c r="A167" s="14">
        <v>12</v>
      </c>
      <c r="B167" s="14" t="s">
        <v>85</v>
      </c>
      <c r="C167" s="14" t="s">
        <v>86</v>
      </c>
      <c r="D167" s="14" t="s">
        <v>84</v>
      </c>
      <c r="E167">
        <v>0</v>
      </c>
      <c r="F167">
        <v>20413989</v>
      </c>
      <c r="G167">
        <v>0</v>
      </c>
      <c r="H167">
        <v>20413989</v>
      </c>
    </row>
    <row r="168" spans="1:8">
      <c r="D168" s="14" t="s">
        <v>358</v>
      </c>
      <c r="E168">
        <v>0</v>
      </c>
      <c r="F168">
        <v>50905004</v>
      </c>
      <c r="G168">
        <v>0</v>
      </c>
      <c r="H168">
        <v>50905004</v>
      </c>
    </row>
    <row r="169" spans="1:8">
      <c r="C169" s="14" t="s">
        <v>723</v>
      </c>
      <c r="E169">
        <v>0</v>
      </c>
      <c r="F169">
        <v>71318993</v>
      </c>
      <c r="G169">
        <v>0</v>
      </c>
      <c r="H169">
        <v>71318993</v>
      </c>
    </row>
    <row r="170" spans="1:8">
      <c r="B170" s="14" t="s">
        <v>687</v>
      </c>
      <c r="E170">
        <v>0</v>
      </c>
      <c r="F170">
        <v>71318993</v>
      </c>
      <c r="G170">
        <v>0</v>
      </c>
      <c r="H170">
        <v>71318993</v>
      </c>
    </row>
    <row r="171" spans="1:8">
      <c r="B171" s="14" t="s">
        <v>169</v>
      </c>
      <c r="C171" s="14" t="s">
        <v>170</v>
      </c>
      <c r="D171" s="14" t="s">
        <v>168</v>
      </c>
      <c r="E171">
        <v>0</v>
      </c>
      <c r="F171">
        <v>26922650</v>
      </c>
      <c r="G171">
        <v>0</v>
      </c>
      <c r="H171">
        <v>26922650</v>
      </c>
    </row>
    <row r="172" spans="1:8">
      <c r="C172" s="14" t="s">
        <v>724</v>
      </c>
      <c r="E172">
        <v>0</v>
      </c>
      <c r="F172">
        <v>26922650</v>
      </c>
      <c r="G172">
        <v>0</v>
      </c>
      <c r="H172">
        <v>26922650</v>
      </c>
    </row>
    <row r="173" spans="1:8">
      <c r="B173" s="14" t="s">
        <v>688</v>
      </c>
      <c r="E173">
        <v>0</v>
      </c>
      <c r="F173">
        <v>26922650</v>
      </c>
      <c r="G173">
        <v>0</v>
      </c>
      <c r="H173">
        <v>26922650</v>
      </c>
    </row>
    <row r="174" spans="1:8">
      <c r="A174" s="14">
        <v>13</v>
      </c>
      <c r="B174" s="14" t="s">
        <v>47</v>
      </c>
      <c r="C174" s="14" t="s">
        <v>364</v>
      </c>
      <c r="D174" s="14" t="s">
        <v>472</v>
      </c>
      <c r="E174">
        <v>0</v>
      </c>
      <c r="F174">
        <v>62630931</v>
      </c>
      <c r="G174">
        <v>0</v>
      </c>
      <c r="H174">
        <v>21743710</v>
      </c>
    </row>
    <row r="175" spans="1:8">
      <c r="D175" s="14" t="s">
        <v>471</v>
      </c>
      <c r="E175">
        <v>0</v>
      </c>
      <c r="F175">
        <v>7221052.2300000004</v>
      </c>
      <c r="G175">
        <v>0</v>
      </c>
      <c r="H175">
        <v>7186632</v>
      </c>
    </row>
    <row r="176" spans="1:8">
      <c r="D176" s="14" t="s">
        <v>500</v>
      </c>
      <c r="E176">
        <v>0</v>
      </c>
      <c r="F176">
        <v>4745540.8600000003</v>
      </c>
      <c r="G176">
        <v>0</v>
      </c>
      <c r="H176">
        <v>10481463</v>
      </c>
    </row>
    <row r="177" spans="3:8">
      <c r="D177" s="14" t="s">
        <v>629</v>
      </c>
      <c r="E177">
        <v>0</v>
      </c>
      <c r="F177">
        <v>10184018</v>
      </c>
    </row>
    <row r="178" spans="3:8">
      <c r="C178" s="14" t="s">
        <v>725</v>
      </c>
      <c r="E178">
        <v>0</v>
      </c>
      <c r="F178">
        <v>84781542.090000004</v>
      </c>
      <c r="G178">
        <v>0</v>
      </c>
      <c r="H178">
        <v>39411805</v>
      </c>
    </row>
    <row r="179" spans="3:8">
      <c r="C179" s="14" t="s">
        <v>671</v>
      </c>
      <c r="D179" s="14" t="s">
        <v>540</v>
      </c>
      <c r="E179">
        <v>0</v>
      </c>
      <c r="F179">
        <v>7500000</v>
      </c>
    </row>
    <row r="180" spans="3:8">
      <c r="D180" s="14" t="s">
        <v>660</v>
      </c>
      <c r="E180">
        <v>0</v>
      </c>
      <c r="F180">
        <v>7500000</v>
      </c>
    </row>
    <row r="181" spans="3:8">
      <c r="C181" s="14" t="s">
        <v>726</v>
      </c>
      <c r="E181">
        <v>0</v>
      </c>
      <c r="F181">
        <v>15000000</v>
      </c>
    </row>
    <row r="182" spans="3:8">
      <c r="C182" s="14" t="s">
        <v>48</v>
      </c>
      <c r="D182" s="14" t="s">
        <v>46</v>
      </c>
      <c r="E182">
        <v>0</v>
      </c>
      <c r="F182">
        <v>2723419</v>
      </c>
      <c r="G182">
        <v>0</v>
      </c>
      <c r="H182">
        <v>2535850</v>
      </c>
    </row>
    <row r="183" spans="3:8">
      <c r="D183" s="14" t="s">
        <v>49</v>
      </c>
      <c r="E183">
        <v>0</v>
      </c>
      <c r="F183">
        <v>1085610</v>
      </c>
      <c r="G183">
        <v>0</v>
      </c>
      <c r="H183">
        <v>1010842</v>
      </c>
    </row>
    <row r="184" spans="3:8">
      <c r="D184" s="14" t="s">
        <v>65</v>
      </c>
      <c r="E184">
        <v>0</v>
      </c>
      <c r="F184">
        <v>853856</v>
      </c>
      <c r="G184">
        <v>0</v>
      </c>
      <c r="H184">
        <v>1263552</v>
      </c>
    </row>
    <row r="185" spans="3:8">
      <c r="D185" s="14" t="s">
        <v>566</v>
      </c>
      <c r="E185">
        <v>0</v>
      </c>
      <c r="F185">
        <v>2529925</v>
      </c>
    </row>
    <row r="186" spans="3:8">
      <c r="D186" s="14" t="s">
        <v>442</v>
      </c>
      <c r="E186">
        <v>0</v>
      </c>
      <c r="F186">
        <v>1896290</v>
      </c>
      <c r="G186">
        <v>0</v>
      </c>
      <c r="H186">
        <v>2165420</v>
      </c>
    </row>
    <row r="187" spans="3:8">
      <c r="D187" s="14" t="s">
        <v>204</v>
      </c>
      <c r="E187">
        <v>0</v>
      </c>
      <c r="F187">
        <v>1418464</v>
      </c>
      <c r="G187">
        <v>0</v>
      </c>
      <c r="H187">
        <v>1320768</v>
      </c>
    </row>
    <row r="188" spans="3:8">
      <c r="D188" s="14" t="s">
        <v>244</v>
      </c>
      <c r="E188">
        <v>0</v>
      </c>
      <c r="F188">
        <v>6623037</v>
      </c>
      <c r="G188">
        <v>0</v>
      </c>
      <c r="H188">
        <v>5747563</v>
      </c>
    </row>
    <row r="189" spans="3:8">
      <c r="D189" s="14" t="s">
        <v>248</v>
      </c>
      <c r="E189">
        <v>0</v>
      </c>
      <c r="F189">
        <v>4071040</v>
      </c>
      <c r="G189">
        <v>0</v>
      </c>
      <c r="H189">
        <v>3790656</v>
      </c>
    </row>
    <row r="190" spans="3:8">
      <c r="D190" s="14" t="s">
        <v>582</v>
      </c>
      <c r="E190">
        <v>0</v>
      </c>
      <c r="F190">
        <v>6248304</v>
      </c>
    </row>
    <row r="191" spans="3:8">
      <c r="D191" s="14" t="s">
        <v>592</v>
      </c>
      <c r="E191">
        <v>0</v>
      </c>
      <c r="F191">
        <v>4760124</v>
      </c>
    </row>
    <row r="192" spans="3:8">
      <c r="D192" s="14" t="s">
        <v>376</v>
      </c>
      <c r="E192">
        <v>0</v>
      </c>
      <c r="F192">
        <v>1308589</v>
      </c>
      <c r="G192">
        <v>0</v>
      </c>
      <c r="H192">
        <v>1218462</v>
      </c>
    </row>
    <row r="193" spans="1:10">
      <c r="D193" s="14" t="s">
        <v>377</v>
      </c>
      <c r="E193">
        <v>0</v>
      </c>
      <c r="F193">
        <v>2035521</v>
      </c>
      <c r="G193">
        <v>0</v>
      </c>
      <c r="H193">
        <v>1895328</v>
      </c>
    </row>
    <row r="194" spans="1:10">
      <c r="D194" s="14" t="s">
        <v>389</v>
      </c>
      <c r="E194">
        <v>0</v>
      </c>
      <c r="F194">
        <v>2253400</v>
      </c>
      <c r="G194">
        <v>0</v>
      </c>
      <c r="H194">
        <v>3072538</v>
      </c>
    </row>
    <row r="195" spans="1:10">
      <c r="C195" s="14" t="s">
        <v>727</v>
      </c>
      <c r="E195">
        <v>0</v>
      </c>
      <c r="F195">
        <v>37807579</v>
      </c>
      <c r="G195">
        <v>0</v>
      </c>
      <c r="H195">
        <v>24020979</v>
      </c>
    </row>
    <row r="196" spans="1:10">
      <c r="B196" s="14" t="s">
        <v>689</v>
      </c>
      <c r="E196">
        <v>0</v>
      </c>
      <c r="F196">
        <v>137589121.09</v>
      </c>
      <c r="G196">
        <v>0</v>
      </c>
      <c r="H196">
        <v>63432784</v>
      </c>
    </row>
    <row r="197" spans="1:10">
      <c r="A197" s="14">
        <v>14</v>
      </c>
      <c r="B197" s="14" t="s">
        <v>138</v>
      </c>
      <c r="C197" s="14" t="s">
        <v>139</v>
      </c>
      <c r="D197" s="14" t="s">
        <v>140</v>
      </c>
      <c r="E197">
        <v>453851</v>
      </c>
      <c r="F197">
        <v>0</v>
      </c>
      <c r="G197">
        <v>277472</v>
      </c>
      <c r="H197">
        <v>0</v>
      </c>
    </row>
    <row r="198" spans="1:10">
      <c r="D198" s="14" t="s">
        <v>141</v>
      </c>
      <c r="E198">
        <v>5073205</v>
      </c>
      <c r="F198">
        <v>0</v>
      </c>
      <c r="G198">
        <v>4984821</v>
      </c>
      <c r="H198">
        <v>0</v>
      </c>
    </row>
    <row r="199" spans="1:10">
      <c r="D199" s="14" t="s">
        <v>316</v>
      </c>
      <c r="E199">
        <v>0</v>
      </c>
      <c r="F199">
        <v>5028548</v>
      </c>
      <c r="G199">
        <v>0</v>
      </c>
      <c r="H199">
        <v>4610451</v>
      </c>
      <c r="I199">
        <f>+GETPIVOTDATA("Sum of Cr. Final 22-23",$A$3,"Note",14,"BS Main Head","Non Current - Provisions")-GETPIVOTDATA("Sum of Dr. Final 22-23",$A$3,"Note",14,"BS Main Head","Non Current - Provisions")</f>
        <v>2615289.7000000002</v>
      </c>
      <c r="J199">
        <f>+GETPIVOTDATA("Sum of Cr. Final 21-22",$A$3,"Note",14,"BS Main Head","Non Current - Provisions")-GETPIVOTDATA("Sum of Dr. Final 21-22",$A$3,"Note",14,"BS Main Head","Non Current - Provisions")</f>
        <v>2677595.7000000002</v>
      </c>
    </row>
    <row r="200" spans="1:10">
      <c r="D200" s="14" t="s">
        <v>333</v>
      </c>
      <c r="E200">
        <v>0</v>
      </c>
      <c r="F200">
        <v>3113797.7</v>
      </c>
      <c r="G200">
        <v>0</v>
      </c>
      <c r="H200">
        <v>3329437.7</v>
      </c>
    </row>
    <row r="201" spans="1:10">
      <c r="C201" s="14" t="s">
        <v>728</v>
      </c>
      <c r="E201">
        <v>5527056</v>
      </c>
      <c r="F201">
        <v>8142345.7000000002</v>
      </c>
      <c r="G201">
        <v>5262293</v>
      </c>
      <c r="H201">
        <v>7939888.7000000002</v>
      </c>
    </row>
    <row r="202" spans="1:10">
      <c r="B202" s="14" t="s">
        <v>690</v>
      </c>
      <c r="E202">
        <v>5527056</v>
      </c>
      <c r="F202">
        <v>8142345.7000000002</v>
      </c>
      <c r="G202">
        <v>5262293</v>
      </c>
      <c r="H202">
        <v>7939888.7000000002</v>
      </c>
    </row>
    <row r="203" spans="1:10">
      <c r="A203" s="14">
        <v>15</v>
      </c>
      <c r="B203" s="14" t="s">
        <v>125</v>
      </c>
      <c r="C203" s="14" t="s">
        <v>126</v>
      </c>
      <c r="D203" s="14" t="s">
        <v>124</v>
      </c>
      <c r="E203">
        <v>0</v>
      </c>
      <c r="F203">
        <v>16151130</v>
      </c>
      <c r="G203">
        <v>0</v>
      </c>
      <c r="H203">
        <v>19475121</v>
      </c>
    </row>
    <row r="204" spans="1:10">
      <c r="C204" s="14" t="s">
        <v>729</v>
      </c>
      <c r="E204">
        <v>0</v>
      </c>
      <c r="F204">
        <v>16151130</v>
      </c>
      <c r="G204">
        <v>0</v>
      </c>
      <c r="H204">
        <v>19475121</v>
      </c>
    </row>
    <row r="205" spans="1:10">
      <c r="B205" s="14" t="s">
        <v>691</v>
      </c>
      <c r="E205">
        <v>0</v>
      </c>
      <c r="F205">
        <v>16151130</v>
      </c>
      <c r="G205">
        <v>0</v>
      </c>
      <c r="H205">
        <v>19475121</v>
      </c>
    </row>
    <row r="206" spans="1:10">
      <c r="A206" s="14">
        <v>16</v>
      </c>
      <c r="B206" s="14" t="s">
        <v>392</v>
      </c>
      <c r="C206" s="14" t="s">
        <v>393</v>
      </c>
      <c r="D206" s="14" t="s">
        <v>391</v>
      </c>
      <c r="E206">
        <v>0</v>
      </c>
      <c r="F206">
        <v>78274677.280000001</v>
      </c>
      <c r="G206">
        <v>0</v>
      </c>
      <c r="H206">
        <v>56842407.57</v>
      </c>
    </row>
    <row r="207" spans="1:10">
      <c r="C207" s="14" t="s">
        <v>730</v>
      </c>
      <c r="E207">
        <v>0</v>
      </c>
      <c r="F207">
        <v>78274677.280000001</v>
      </c>
      <c r="G207">
        <v>0</v>
      </c>
      <c r="H207">
        <v>56842407.57</v>
      </c>
    </row>
    <row r="208" spans="1:10">
      <c r="B208" s="14" t="s">
        <v>692</v>
      </c>
      <c r="E208">
        <v>0</v>
      </c>
      <c r="F208">
        <v>78274677.280000001</v>
      </c>
      <c r="G208">
        <v>0</v>
      </c>
      <c r="H208">
        <v>56842407.57</v>
      </c>
    </row>
    <row r="209" spans="1:8">
      <c r="A209" s="14">
        <v>17</v>
      </c>
      <c r="B209" s="14" t="s">
        <v>10</v>
      </c>
      <c r="C209" s="14" t="s">
        <v>10</v>
      </c>
      <c r="D209" s="14" t="s">
        <v>537</v>
      </c>
      <c r="E209">
        <v>0</v>
      </c>
      <c r="F209">
        <v>1997155.3829699999</v>
      </c>
    </row>
    <row r="210" spans="1:8">
      <c r="D210" s="14" t="s">
        <v>43</v>
      </c>
      <c r="E210">
        <v>0</v>
      </c>
      <c r="F210">
        <v>0</v>
      </c>
      <c r="G210">
        <v>0</v>
      </c>
      <c r="H210">
        <v>141516</v>
      </c>
    </row>
    <row r="211" spans="1:8">
      <c r="D211" s="14" t="s">
        <v>20</v>
      </c>
      <c r="E211">
        <v>0</v>
      </c>
      <c r="F211">
        <v>146832</v>
      </c>
      <c r="G211">
        <v>0</v>
      </c>
      <c r="H211">
        <v>782311</v>
      </c>
    </row>
    <row r="212" spans="1:8">
      <c r="D212" s="14" t="s">
        <v>542</v>
      </c>
      <c r="E212">
        <v>0</v>
      </c>
      <c r="F212">
        <v>556517</v>
      </c>
    </row>
    <row r="213" spans="1:8">
      <c r="D213" s="14" t="s">
        <v>64</v>
      </c>
      <c r="E213">
        <v>0</v>
      </c>
      <c r="F213">
        <v>156616</v>
      </c>
      <c r="G213">
        <v>0</v>
      </c>
      <c r="H213">
        <v>96676.08</v>
      </c>
    </row>
    <row r="214" spans="1:8">
      <c r="D214" s="14" t="s">
        <v>73</v>
      </c>
      <c r="E214">
        <v>0</v>
      </c>
      <c r="F214">
        <v>54681</v>
      </c>
      <c r="G214">
        <v>0</v>
      </c>
      <c r="H214">
        <v>57396</v>
      </c>
    </row>
    <row r="215" spans="1:8">
      <c r="D215" s="14" t="s">
        <v>543</v>
      </c>
      <c r="E215">
        <v>0</v>
      </c>
      <c r="F215">
        <v>0</v>
      </c>
    </row>
    <row r="216" spans="1:8">
      <c r="D216" s="14" t="s">
        <v>41</v>
      </c>
      <c r="E216">
        <v>0</v>
      </c>
      <c r="F216">
        <v>1074019.0967559998</v>
      </c>
      <c r="G216">
        <v>0</v>
      </c>
      <c r="H216">
        <v>0</v>
      </c>
    </row>
    <row r="217" spans="1:8">
      <c r="D217" s="14" t="s">
        <v>42</v>
      </c>
      <c r="E217">
        <v>0</v>
      </c>
      <c r="F217">
        <v>3812089.3396249996</v>
      </c>
      <c r="G217">
        <v>0</v>
      </c>
      <c r="H217">
        <v>0</v>
      </c>
    </row>
    <row r="218" spans="1:8">
      <c r="D218" s="14" t="s">
        <v>431</v>
      </c>
      <c r="E218">
        <v>0</v>
      </c>
      <c r="F218">
        <v>0</v>
      </c>
      <c r="G218">
        <v>0</v>
      </c>
      <c r="H218">
        <v>244960</v>
      </c>
    </row>
    <row r="219" spans="1:8">
      <c r="D219" s="14" t="s">
        <v>105</v>
      </c>
      <c r="E219">
        <v>0</v>
      </c>
      <c r="F219">
        <v>0</v>
      </c>
      <c r="G219">
        <v>0</v>
      </c>
      <c r="H219">
        <v>0</v>
      </c>
    </row>
    <row r="220" spans="1:8">
      <c r="D220" s="14" t="s">
        <v>123</v>
      </c>
      <c r="E220">
        <v>0</v>
      </c>
      <c r="F220">
        <v>7452127</v>
      </c>
      <c r="G220">
        <v>0</v>
      </c>
      <c r="H220">
        <v>0</v>
      </c>
    </row>
    <row r="221" spans="1:8">
      <c r="D221" s="14" t="s">
        <v>152</v>
      </c>
      <c r="E221">
        <v>0</v>
      </c>
      <c r="F221">
        <v>29160</v>
      </c>
      <c r="G221">
        <v>0</v>
      </c>
      <c r="H221">
        <v>0</v>
      </c>
    </row>
    <row r="222" spans="1:8">
      <c r="D222" s="14" t="s">
        <v>165</v>
      </c>
      <c r="E222">
        <v>0</v>
      </c>
      <c r="F222">
        <v>89916</v>
      </c>
      <c r="G222">
        <v>0</v>
      </c>
      <c r="H222">
        <v>66506</v>
      </c>
    </row>
    <row r="223" spans="1:8">
      <c r="D223" s="14" t="s">
        <v>166</v>
      </c>
      <c r="E223">
        <v>0</v>
      </c>
      <c r="F223">
        <v>4164978</v>
      </c>
      <c r="G223">
        <v>0</v>
      </c>
      <c r="H223">
        <v>4625753</v>
      </c>
    </row>
    <row r="224" spans="1:8">
      <c r="D224" s="14" t="s">
        <v>194</v>
      </c>
      <c r="E224">
        <v>0</v>
      </c>
      <c r="F224">
        <v>65007</v>
      </c>
      <c r="G224">
        <v>0</v>
      </c>
      <c r="H224">
        <v>0</v>
      </c>
    </row>
    <row r="225" spans="4:8">
      <c r="D225" s="14" t="s">
        <v>197</v>
      </c>
      <c r="E225">
        <v>0</v>
      </c>
      <c r="F225">
        <v>242667</v>
      </c>
      <c r="G225">
        <v>0</v>
      </c>
      <c r="H225">
        <v>0</v>
      </c>
    </row>
    <row r="226" spans="4:8">
      <c r="D226" s="14" t="s">
        <v>206</v>
      </c>
      <c r="E226">
        <v>0</v>
      </c>
      <c r="F226">
        <v>238416</v>
      </c>
      <c r="G226">
        <v>0</v>
      </c>
      <c r="H226">
        <v>114473</v>
      </c>
    </row>
    <row r="227" spans="4:8">
      <c r="D227" s="14" t="s">
        <v>213</v>
      </c>
      <c r="E227">
        <v>0</v>
      </c>
      <c r="F227">
        <v>0</v>
      </c>
      <c r="G227">
        <v>0</v>
      </c>
      <c r="H227">
        <v>708000</v>
      </c>
    </row>
    <row r="228" spans="4:8">
      <c r="D228" s="14" t="s">
        <v>450</v>
      </c>
      <c r="E228">
        <v>0</v>
      </c>
      <c r="F228">
        <v>193615</v>
      </c>
      <c r="G228">
        <v>0</v>
      </c>
      <c r="H228">
        <v>266778</v>
      </c>
    </row>
    <row r="229" spans="4:8">
      <c r="D229" s="14" t="s">
        <v>222</v>
      </c>
      <c r="E229">
        <v>0</v>
      </c>
      <c r="F229">
        <v>0</v>
      </c>
      <c r="G229">
        <v>11945</v>
      </c>
      <c r="H229">
        <v>0</v>
      </c>
    </row>
    <row r="230" spans="4:8">
      <c r="D230" s="14" t="s">
        <v>240</v>
      </c>
      <c r="E230">
        <v>0</v>
      </c>
      <c r="F230">
        <v>1780152</v>
      </c>
      <c r="G230">
        <v>0</v>
      </c>
      <c r="H230">
        <v>828637</v>
      </c>
    </row>
    <row r="231" spans="4:8">
      <c r="D231" s="14" t="s">
        <v>495</v>
      </c>
      <c r="E231">
        <v>0</v>
      </c>
      <c r="F231">
        <v>143488</v>
      </c>
      <c r="G231">
        <v>0</v>
      </c>
      <c r="H231">
        <v>0</v>
      </c>
    </row>
    <row r="232" spans="4:8">
      <c r="D232" s="14" t="s">
        <v>249</v>
      </c>
      <c r="E232">
        <v>0</v>
      </c>
      <c r="F232">
        <v>12525978.300000001</v>
      </c>
      <c r="G232">
        <v>0</v>
      </c>
      <c r="H232">
        <v>17205005.399999999</v>
      </c>
    </row>
    <row r="233" spans="4:8">
      <c r="D233" s="14" t="s">
        <v>250</v>
      </c>
      <c r="E233">
        <v>0</v>
      </c>
      <c r="F233">
        <v>0</v>
      </c>
      <c r="G233">
        <v>0</v>
      </c>
      <c r="H233">
        <v>5788</v>
      </c>
    </row>
    <row r="234" spans="4:8">
      <c r="D234" s="14" t="s">
        <v>454</v>
      </c>
      <c r="E234">
        <v>0</v>
      </c>
      <c r="F234">
        <v>11543115</v>
      </c>
      <c r="G234">
        <v>0</v>
      </c>
      <c r="H234">
        <v>9742192</v>
      </c>
    </row>
    <row r="235" spans="4:8">
      <c r="D235" s="14" t="s">
        <v>259</v>
      </c>
      <c r="E235">
        <v>0</v>
      </c>
      <c r="F235">
        <v>2296047.5</v>
      </c>
      <c r="G235">
        <v>0</v>
      </c>
      <c r="H235">
        <v>10694991.5</v>
      </c>
    </row>
    <row r="236" spans="4:8">
      <c r="D236" s="14" t="s">
        <v>21</v>
      </c>
      <c r="E236">
        <v>0</v>
      </c>
      <c r="F236">
        <v>3597683</v>
      </c>
      <c r="G236">
        <v>0</v>
      </c>
      <c r="H236">
        <v>4974989</v>
      </c>
    </row>
    <row r="237" spans="4:8">
      <c r="D237" s="14" t="s">
        <v>456</v>
      </c>
      <c r="E237">
        <v>0</v>
      </c>
      <c r="F237">
        <v>313013</v>
      </c>
      <c r="G237">
        <v>0</v>
      </c>
      <c r="H237">
        <v>82682</v>
      </c>
    </row>
    <row r="238" spans="4:8">
      <c r="D238" s="14" t="s">
        <v>457</v>
      </c>
      <c r="E238">
        <v>0</v>
      </c>
      <c r="F238">
        <v>0</v>
      </c>
      <c r="G238">
        <v>0</v>
      </c>
      <c r="H238">
        <v>270000</v>
      </c>
    </row>
    <row r="239" spans="4:8">
      <c r="D239" s="14" t="s">
        <v>294</v>
      </c>
      <c r="E239">
        <v>0</v>
      </c>
      <c r="F239">
        <v>56976</v>
      </c>
      <c r="G239">
        <v>0</v>
      </c>
      <c r="H239">
        <v>0</v>
      </c>
    </row>
    <row r="240" spans="4:8">
      <c r="D240" s="14" t="s">
        <v>19</v>
      </c>
      <c r="E240">
        <v>0</v>
      </c>
      <c r="F240">
        <v>0</v>
      </c>
      <c r="G240">
        <v>0</v>
      </c>
      <c r="H240">
        <v>2844884</v>
      </c>
    </row>
    <row r="241" spans="4:8">
      <c r="D241" s="14" t="s">
        <v>335</v>
      </c>
      <c r="E241">
        <v>0</v>
      </c>
      <c r="F241">
        <v>251180</v>
      </c>
      <c r="G241">
        <v>0</v>
      </c>
      <c r="H241">
        <v>1743178</v>
      </c>
    </row>
    <row r="242" spans="4:8">
      <c r="D242" s="14" t="s">
        <v>345</v>
      </c>
      <c r="E242">
        <v>0</v>
      </c>
      <c r="F242">
        <v>1212197</v>
      </c>
      <c r="G242">
        <v>0</v>
      </c>
      <c r="H242">
        <v>1439364</v>
      </c>
    </row>
    <row r="243" spans="4:8">
      <c r="D243" s="14" t="s">
        <v>346</v>
      </c>
      <c r="E243">
        <v>0</v>
      </c>
      <c r="F243">
        <v>3418</v>
      </c>
      <c r="G243">
        <v>0</v>
      </c>
      <c r="H243">
        <v>0</v>
      </c>
    </row>
    <row r="244" spans="4:8">
      <c r="D244" s="14" t="s">
        <v>614</v>
      </c>
      <c r="E244">
        <v>0</v>
      </c>
      <c r="F244">
        <v>1296380</v>
      </c>
    </row>
    <row r="245" spans="4:8">
      <c r="D245" s="14" t="s">
        <v>615</v>
      </c>
      <c r="E245">
        <v>0</v>
      </c>
      <c r="F245">
        <v>3727056.5107999998</v>
      </c>
    </row>
    <row r="246" spans="4:8">
      <c r="D246" s="14" t="s">
        <v>618</v>
      </c>
      <c r="E246">
        <v>0</v>
      </c>
      <c r="F246">
        <v>1115100</v>
      </c>
    </row>
    <row r="247" spans="4:8">
      <c r="D247" s="14" t="s">
        <v>360</v>
      </c>
      <c r="E247">
        <v>0</v>
      </c>
      <c r="F247">
        <v>3597964</v>
      </c>
      <c r="G247">
        <v>0</v>
      </c>
      <c r="H247">
        <v>2717096</v>
      </c>
    </row>
    <row r="248" spans="4:8">
      <c r="D248" s="14" t="s">
        <v>499</v>
      </c>
      <c r="E248">
        <v>0</v>
      </c>
      <c r="F248">
        <v>0</v>
      </c>
      <c r="G248">
        <v>0</v>
      </c>
      <c r="H248">
        <v>30090</v>
      </c>
    </row>
    <row r="249" spans="4:8">
      <c r="D249" s="14" t="s">
        <v>367</v>
      </c>
      <c r="E249">
        <v>0</v>
      </c>
      <c r="F249">
        <v>1561707</v>
      </c>
      <c r="G249">
        <v>0</v>
      </c>
      <c r="H249">
        <v>122753</v>
      </c>
    </row>
    <row r="250" spans="4:8">
      <c r="D250" s="14" t="s">
        <v>473</v>
      </c>
      <c r="E250">
        <v>0</v>
      </c>
      <c r="F250">
        <v>632079</v>
      </c>
      <c r="G250">
        <v>0</v>
      </c>
      <c r="H250">
        <v>429511</v>
      </c>
    </row>
    <row r="251" spans="4:8">
      <c r="D251" s="14" t="s">
        <v>18</v>
      </c>
      <c r="E251">
        <v>0</v>
      </c>
      <c r="F251">
        <v>0</v>
      </c>
      <c r="G251">
        <v>0</v>
      </c>
      <c r="H251">
        <v>85432</v>
      </c>
    </row>
    <row r="252" spans="4:8">
      <c r="D252" s="14" t="s">
        <v>241</v>
      </c>
      <c r="E252">
        <v>0</v>
      </c>
      <c r="F252">
        <v>2129493</v>
      </c>
      <c r="G252">
        <v>0</v>
      </c>
      <c r="H252">
        <v>2686453</v>
      </c>
    </row>
    <row r="253" spans="4:8">
      <c r="D253" s="14" t="s">
        <v>385</v>
      </c>
      <c r="E253">
        <v>0</v>
      </c>
      <c r="F253">
        <v>1668161.7</v>
      </c>
      <c r="G253">
        <v>0</v>
      </c>
      <c r="H253">
        <v>5633372.7000000002</v>
      </c>
    </row>
    <row r="254" spans="4:8">
      <c r="D254" s="14" t="s">
        <v>475</v>
      </c>
      <c r="E254">
        <v>0</v>
      </c>
      <c r="F254">
        <v>0</v>
      </c>
      <c r="G254">
        <v>0</v>
      </c>
      <c r="H254">
        <v>36998</v>
      </c>
    </row>
    <row r="255" spans="4:8">
      <c r="D255" s="14" t="s">
        <v>386</v>
      </c>
      <c r="E255">
        <v>0</v>
      </c>
      <c r="F255">
        <v>182880</v>
      </c>
      <c r="G255">
        <v>0</v>
      </c>
      <c r="H255">
        <v>198137</v>
      </c>
    </row>
    <row r="256" spans="4:8">
      <c r="D256" s="14" t="s">
        <v>401</v>
      </c>
      <c r="E256">
        <v>0</v>
      </c>
      <c r="F256">
        <v>0</v>
      </c>
      <c r="G256">
        <v>0</v>
      </c>
      <c r="H256">
        <v>261379</v>
      </c>
    </row>
    <row r="257" spans="3:8">
      <c r="D257" s="14" t="s">
        <v>636</v>
      </c>
      <c r="E257">
        <v>0</v>
      </c>
      <c r="F257">
        <v>101563</v>
      </c>
    </row>
    <row r="258" spans="3:8">
      <c r="D258" s="14" t="s">
        <v>405</v>
      </c>
      <c r="E258">
        <v>0</v>
      </c>
      <c r="F258">
        <v>830720</v>
      </c>
      <c r="G258">
        <v>0</v>
      </c>
      <c r="H258">
        <v>361080</v>
      </c>
    </row>
    <row r="259" spans="3:8">
      <c r="D259" s="14" t="s">
        <v>421</v>
      </c>
      <c r="E259">
        <v>0</v>
      </c>
      <c r="F259">
        <v>80955</v>
      </c>
      <c r="G259">
        <v>0</v>
      </c>
      <c r="H259">
        <v>411065</v>
      </c>
    </row>
    <row r="260" spans="3:8">
      <c r="D260" s="14" t="s">
        <v>12</v>
      </c>
      <c r="E260">
        <v>0</v>
      </c>
      <c r="F260">
        <v>0</v>
      </c>
      <c r="G260">
        <v>0</v>
      </c>
      <c r="H260">
        <v>377600</v>
      </c>
    </row>
    <row r="261" spans="3:8">
      <c r="D261" s="14" t="s">
        <v>491</v>
      </c>
      <c r="E261">
        <v>0</v>
      </c>
      <c r="F261">
        <v>90199</v>
      </c>
      <c r="G261">
        <v>0</v>
      </c>
      <c r="H261">
        <v>0</v>
      </c>
    </row>
    <row r="262" spans="3:8">
      <c r="D262" s="14" t="s">
        <v>505</v>
      </c>
      <c r="E262">
        <v>0</v>
      </c>
      <c r="F262">
        <v>3500894</v>
      </c>
      <c r="G262">
        <v>0</v>
      </c>
      <c r="H262">
        <v>6011326</v>
      </c>
    </row>
    <row r="263" spans="3:8">
      <c r="D263" s="14" t="s">
        <v>485</v>
      </c>
      <c r="E263">
        <v>0</v>
      </c>
      <c r="F263">
        <v>163013</v>
      </c>
      <c r="G263">
        <v>0</v>
      </c>
      <c r="H263">
        <v>1659637</v>
      </c>
    </row>
    <row r="264" spans="3:8">
      <c r="D264" s="14" t="s">
        <v>506</v>
      </c>
      <c r="E264">
        <v>0</v>
      </c>
      <c r="F264">
        <v>750593</v>
      </c>
      <c r="G264">
        <v>0</v>
      </c>
      <c r="H264">
        <v>0</v>
      </c>
    </row>
    <row r="265" spans="3:8">
      <c r="D265" s="14" t="s">
        <v>662</v>
      </c>
      <c r="E265">
        <v>0</v>
      </c>
      <c r="F265">
        <v>0</v>
      </c>
    </row>
    <row r="266" spans="3:8">
      <c r="D266" s="14" t="s">
        <v>659</v>
      </c>
      <c r="E266">
        <v>0</v>
      </c>
      <c r="F266">
        <v>295397</v>
      </c>
    </row>
    <row r="267" spans="3:8">
      <c r="D267" s="14" t="s">
        <v>507</v>
      </c>
      <c r="E267">
        <v>0</v>
      </c>
      <c r="F267">
        <v>226800</v>
      </c>
      <c r="G267">
        <v>0</v>
      </c>
      <c r="H267">
        <v>226800</v>
      </c>
    </row>
    <row r="268" spans="3:8">
      <c r="D268" s="14" t="s">
        <v>2766</v>
      </c>
      <c r="E268">
        <v>0</v>
      </c>
      <c r="F268">
        <v>533042</v>
      </c>
    </row>
    <row r="269" spans="3:8">
      <c r="D269" s="14" t="s">
        <v>2767</v>
      </c>
      <c r="E269">
        <v>0</v>
      </c>
      <c r="F269">
        <v>996630</v>
      </c>
    </row>
    <row r="270" spans="3:8">
      <c r="C270" s="14" t="s">
        <v>693</v>
      </c>
      <c r="E270">
        <v>0</v>
      </c>
      <c r="F270">
        <v>77477670.830151007</v>
      </c>
      <c r="G270">
        <v>11945</v>
      </c>
      <c r="H270">
        <v>78184809.679999992</v>
      </c>
    </row>
    <row r="271" spans="3:8">
      <c r="C271" s="14" t="s">
        <v>11</v>
      </c>
      <c r="D271" s="14" t="s">
        <v>9</v>
      </c>
      <c r="E271">
        <v>0</v>
      </c>
      <c r="F271">
        <v>73440</v>
      </c>
      <c r="G271">
        <v>0</v>
      </c>
      <c r="H271">
        <v>63720</v>
      </c>
    </row>
    <row r="272" spans="3:8">
      <c r="D272" s="14" t="s">
        <v>22</v>
      </c>
      <c r="E272">
        <v>0</v>
      </c>
      <c r="F272">
        <v>380240</v>
      </c>
      <c r="G272">
        <v>0</v>
      </c>
      <c r="H272">
        <v>0</v>
      </c>
    </row>
    <row r="273" spans="4:8">
      <c r="D273" s="14" t="s">
        <v>342</v>
      </c>
      <c r="E273">
        <v>0</v>
      </c>
      <c r="F273">
        <v>39816</v>
      </c>
      <c r="G273">
        <v>0</v>
      </c>
      <c r="H273">
        <v>68453</v>
      </c>
    </row>
    <row r="274" spans="4:8">
      <c r="D274" s="14" t="s">
        <v>424</v>
      </c>
      <c r="E274">
        <v>0</v>
      </c>
      <c r="F274">
        <v>0</v>
      </c>
      <c r="G274">
        <v>56700</v>
      </c>
      <c r="H274">
        <v>0</v>
      </c>
    </row>
    <row r="275" spans="4:8">
      <c r="D275" s="14" t="s">
        <v>62</v>
      </c>
      <c r="E275">
        <v>0</v>
      </c>
      <c r="F275">
        <v>247500</v>
      </c>
      <c r="G275">
        <v>0</v>
      </c>
      <c r="H275">
        <v>247500</v>
      </c>
    </row>
    <row r="276" spans="4:8">
      <c r="D276" s="14" t="s">
        <v>426</v>
      </c>
      <c r="E276">
        <v>0</v>
      </c>
      <c r="F276">
        <v>21491</v>
      </c>
      <c r="G276">
        <v>0</v>
      </c>
      <c r="H276">
        <v>28252</v>
      </c>
    </row>
    <row r="277" spans="4:8">
      <c r="D277" s="14" t="s">
        <v>26</v>
      </c>
      <c r="E277">
        <v>0</v>
      </c>
      <c r="F277">
        <v>6490</v>
      </c>
      <c r="G277">
        <v>0</v>
      </c>
      <c r="H277">
        <v>0</v>
      </c>
    </row>
    <row r="278" spans="4:8">
      <c r="D278" s="14" t="s">
        <v>433</v>
      </c>
      <c r="E278">
        <v>0</v>
      </c>
      <c r="F278">
        <v>0</v>
      </c>
      <c r="G278">
        <v>0</v>
      </c>
      <c r="H278">
        <v>29986</v>
      </c>
    </row>
    <row r="279" spans="4:8">
      <c r="D279" s="14" t="s">
        <v>492</v>
      </c>
      <c r="E279">
        <v>0</v>
      </c>
      <c r="F279">
        <v>24831</v>
      </c>
      <c r="G279">
        <v>0</v>
      </c>
      <c r="H279">
        <v>28004</v>
      </c>
    </row>
    <row r="280" spans="4:8">
      <c r="D280" s="14" t="s">
        <v>161</v>
      </c>
      <c r="E280">
        <v>0</v>
      </c>
      <c r="F280">
        <v>112909.16</v>
      </c>
      <c r="G280">
        <v>0</v>
      </c>
      <c r="H280">
        <v>101425.16</v>
      </c>
    </row>
    <row r="281" spans="4:8">
      <c r="D281" s="14" t="s">
        <v>437</v>
      </c>
      <c r="E281">
        <v>0</v>
      </c>
      <c r="F281">
        <v>0</v>
      </c>
      <c r="G281">
        <v>0</v>
      </c>
      <c r="H281">
        <v>78588</v>
      </c>
    </row>
    <row r="282" spans="4:8">
      <c r="D282" s="14" t="s">
        <v>45</v>
      </c>
      <c r="E282">
        <v>0</v>
      </c>
      <c r="F282">
        <v>0</v>
      </c>
      <c r="G282">
        <v>0</v>
      </c>
      <c r="H282">
        <v>41913</v>
      </c>
    </row>
    <row r="283" spans="4:8">
      <c r="D283" s="14" t="s">
        <v>561</v>
      </c>
      <c r="E283">
        <v>0</v>
      </c>
      <c r="F283">
        <v>62499</v>
      </c>
    </row>
    <row r="284" spans="4:8">
      <c r="D284" s="14" t="s">
        <v>439</v>
      </c>
      <c r="E284">
        <v>0</v>
      </c>
      <c r="F284">
        <v>0</v>
      </c>
      <c r="G284">
        <v>0</v>
      </c>
      <c r="H284">
        <v>227278</v>
      </c>
    </row>
    <row r="285" spans="4:8">
      <c r="D285" s="14" t="s">
        <v>187</v>
      </c>
      <c r="E285">
        <v>0</v>
      </c>
      <c r="F285">
        <v>370401</v>
      </c>
      <c r="G285">
        <v>0</v>
      </c>
      <c r="H285">
        <v>387409</v>
      </c>
    </row>
    <row r="286" spans="4:8">
      <c r="D286" s="14" t="s">
        <v>493</v>
      </c>
      <c r="E286">
        <v>0</v>
      </c>
      <c r="F286">
        <v>0</v>
      </c>
      <c r="G286">
        <v>0</v>
      </c>
      <c r="H286">
        <v>13500</v>
      </c>
    </row>
    <row r="287" spans="4:8">
      <c r="D287" s="14" t="s">
        <v>199</v>
      </c>
      <c r="E287">
        <v>0</v>
      </c>
      <c r="F287">
        <v>74340</v>
      </c>
      <c r="G287">
        <v>0</v>
      </c>
      <c r="H287">
        <v>0</v>
      </c>
    </row>
    <row r="288" spans="4:8">
      <c r="D288" s="14" t="s">
        <v>203</v>
      </c>
      <c r="E288">
        <v>0</v>
      </c>
      <c r="F288">
        <v>75205</v>
      </c>
      <c r="G288">
        <v>0</v>
      </c>
      <c r="H288">
        <v>0</v>
      </c>
    </row>
    <row r="289" spans="4:8">
      <c r="D289" s="14" t="s">
        <v>569</v>
      </c>
      <c r="E289">
        <v>0</v>
      </c>
      <c r="F289">
        <v>192781</v>
      </c>
    </row>
    <row r="290" spans="4:8">
      <c r="D290" s="14" t="s">
        <v>247</v>
      </c>
      <c r="E290">
        <v>0</v>
      </c>
      <c r="F290">
        <v>6711</v>
      </c>
      <c r="G290">
        <v>0</v>
      </c>
      <c r="H290">
        <v>4130</v>
      </c>
    </row>
    <row r="291" spans="4:8">
      <c r="D291" s="14" t="s">
        <v>252</v>
      </c>
      <c r="E291">
        <v>0</v>
      </c>
      <c r="F291">
        <v>42465</v>
      </c>
      <c r="G291">
        <v>0</v>
      </c>
      <c r="H291">
        <v>44466</v>
      </c>
    </row>
    <row r="292" spans="4:8">
      <c r="D292" s="14" t="s">
        <v>497</v>
      </c>
      <c r="E292">
        <v>0</v>
      </c>
      <c r="F292">
        <v>588420</v>
      </c>
      <c r="G292">
        <v>0</v>
      </c>
      <c r="H292">
        <v>0</v>
      </c>
    </row>
    <row r="293" spans="4:8">
      <c r="D293" s="14" t="s">
        <v>266</v>
      </c>
      <c r="E293">
        <v>0</v>
      </c>
      <c r="F293">
        <v>218293</v>
      </c>
      <c r="G293">
        <v>0</v>
      </c>
      <c r="H293">
        <v>0</v>
      </c>
    </row>
    <row r="294" spans="4:8">
      <c r="D294" s="14" t="s">
        <v>267</v>
      </c>
      <c r="E294">
        <v>0</v>
      </c>
      <c r="F294">
        <v>27100</v>
      </c>
      <c r="G294">
        <v>0</v>
      </c>
      <c r="H294">
        <v>0</v>
      </c>
    </row>
    <row r="295" spans="4:8">
      <c r="D295" s="14" t="s">
        <v>13</v>
      </c>
      <c r="E295">
        <v>0</v>
      </c>
      <c r="F295">
        <v>0</v>
      </c>
      <c r="G295">
        <v>0</v>
      </c>
      <c r="H295">
        <v>14868</v>
      </c>
    </row>
    <row r="296" spans="4:8">
      <c r="D296" s="14" t="s">
        <v>498</v>
      </c>
      <c r="E296">
        <v>0</v>
      </c>
      <c r="F296">
        <v>32397</v>
      </c>
      <c r="G296">
        <v>0</v>
      </c>
      <c r="H296">
        <v>29358</v>
      </c>
    </row>
    <row r="297" spans="4:8">
      <c r="D297" s="14" t="s">
        <v>586</v>
      </c>
      <c r="E297">
        <v>0</v>
      </c>
      <c r="F297">
        <v>81650</v>
      </c>
    </row>
    <row r="298" spans="4:8">
      <c r="D298" s="14" t="s">
        <v>273</v>
      </c>
      <c r="E298">
        <v>0</v>
      </c>
      <c r="F298">
        <v>0</v>
      </c>
      <c r="G298">
        <v>0</v>
      </c>
      <c r="H298">
        <v>5161</v>
      </c>
    </row>
    <row r="299" spans="4:8">
      <c r="D299" s="14" t="s">
        <v>596</v>
      </c>
      <c r="E299">
        <v>0</v>
      </c>
      <c r="F299">
        <v>374208</v>
      </c>
    </row>
    <row r="300" spans="4:8">
      <c r="D300" s="14" t="s">
        <v>593</v>
      </c>
      <c r="E300">
        <v>0</v>
      </c>
      <c r="F300">
        <v>84960</v>
      </c>
    </row>
    <row r="301" spans="4:8">
      <c r="D301" s="14" t="s">
        <v>295</v>
      </c>
      <c r="E301">
        <v>0</v>
      </c>
      <c r="F301">
        <v>356852</v>
      </c>
      <c r="G301">
        <v>0</v>
      </c>
      <c r="H301">
        <v>329959</v>
      </c>
    </row>
    <row r="302" spans="4:8">
      <c r="D302" s="14" t="s">
        <v>201</v>
      </c>
      <c r="E302">
        <v>0</v>
      </c>
      <c r="F302">
        <v>0</v>
      </c>
      <c r="G302">
        <v>0</v>
      </c>
      <c r="H302">
        <v>30000</v>
      </c>
    </row>
    <row r="303" spans="4:8">
      <c r="D303" s="14" t="s">
        <v>594</v>
      </c>
      <c r="E303">
        <v>0</v>
      </c>
      <c r="F303">
        <v>21000</v>
      </c>
    </row>
    <row r="304" spans="4:8">
      <c r="D304" s="14" t="s">
        <v>296</v>
      </c>
      <c r="E304">
        <v>0</v>
      </c>
      <c r="F304">
        <v>465751</v>
      </c>
      <c r="G304">
        <v>0</v>
      </c>
      <c r="H304">
        <v>472451</v>
      </c>
    </row>
    <row r="305" spans="2:9">
      <c r="D305" s="14" t="s">
        <v>297</v>
      </c>
      <c r="E305">
        <v>0</v>
      </c>
      <c r="F305">
        <v>509568</v>
      </c>
      <c r="G305">
        <v>0</v>
      </c>
      <c r="H305">
        <v>535544</v>
      </c>
    </row>
    <row r="306" spans="2:9">
      <c r="D306" s="14" t="s">
        <v>458</v>
      </c>
      <c r="E306">
        <v>0</v>
      </c>
      <c r="F306">
        <v>0</v>
      </c>
      <c r="G306">
        <v>0</v>
      </c>
      <c r="H306">
        <v>52156</v>
      </c>
    </row>
    <row r="307" spans="2:9">
      <c r="D307" s="14" t="s">
        <v>304</v>
      </c>
      <c r="E307">
        <v>0</v>
      </c>
      <c r="F307">
        <v>7145017</v>
      </c>
      <c r="G307">
        <v>0</v>
      </c>
      <c r="H307">
        <v>6195758</v>
      </c>
    </row>
    <row r="308" spans="2:9">
      <c r="D308" s="14" t="s">
        <v>613</v>
      </c>
      <c r="E308">
        <v>0</v>
      </c>
      <c r="F308">
        <v>192958</v>
      </c>
    </row>
    <row r="309" spans="2:9">
      <c r="D309" s="14" t="s">
        <v>622</v>
      </c>
      <c r="E309">
        <v>0</v>
      </c>
      <c r="F309">
        <v>25438</v>
      </c>
    </row>
    <row r="310" spans="2:9">
      <c r="D310" s="14" t="s">
        <v>638</v>
      </c>
      <c r="E310">
        <v>4200</v>
      </c>
      <c r="F310">
        <v>0</v>
      </c>
      <c r="I310">
        <f>+GETPIVOTDATA("Sum of Cr. Final 22-23",$A$3,"Note",17,"BS Main Head","Trade Payables","BS Sub Head","Trade Payables - Others")-GETPIVOTDATA("Sum of Dr. Final 22-23",$A$3,"Note",17,"BS Main Head","Trade Payables","BS Sub Head","Trade Payables - Others")</f>
        <v>14120251.16</v>
      </c>
    </row>
    <row r="311" spans="2:9">
      <c r="D311" s="14" t="s">
        <v>417</v>
      </c>
      <c r="E311">
        <v>0</v>
      </c>
      <c r="F311">
        <v>0</v>
      </c>
      <c r="G311">
        <v>0</v>
      </c>
      <c r="H311">
        <v>3708</v>
      </c>
    </row>
    <row r="312" spans="2:9">
      <c r="D312" s="14" t="s">
        <v>490</v>
      </c>
      <c r="E312">
        <v>0</v>
      </c>
      <c r="F312">
        <v>55080</v>
      </c>
      <c r="G312">
        <v>0</v>
      </c>
      <c r="H312">
        <v>207360</v>
      </c>
    </row>
    <row r="313" spans="2:9">
      <c r="D313" s="14" t="s">
        <v>486</v>
      </c>
      <c r="E313">
        <v>0</v>
      </c>
      <c r="F313">
        <v>0</v>
      </c>
      <c r="G313">
        <v>633</v>
      </c>
      <c r="H313">
        <v>0</v>
      </c>
    </row>
    <row r="314" spans="2:9">
      <c r="D314" s="14" t="s">
        <v>2388</v>
      </c>
      <c r="E314">
        <v>0</v>
      </c>
      <c r="F314">
        <v>0</v>
      </c>
    </row>
    <row r="315" spans="2:9">
      <c r="D315" s="14" t="s">
        <v>2384</v>
      </c>
      <c r="E315">
        <v>9980</v>
      </c>
      <c r="F315">
        <v>0</v>
      </c>
    </row>
    <row r="316" spans="2:9">
      <c r="D316" s="14" t="s">
        <v>1000</v>
      </c>
      <c r="E316">
        <v>0</v>
      </c>
      <c r="F316">
        <v>2200000</v>
      </c>
    </row>
    <row r="317" spans="2:9">
      <c r="D317" s="14" t="s">
        <v>2762</v>
      </c>
      <c r="E317">
        <v>0</v>
      </c>
      <c r="F317">
        <v>27000</v>
      </c>
      <c r="G317">
        <v>0</v>
      </c>
      <c r="H317">
        <v>0</v>
      </c>
    </row>
    <row r="318" spans="2:9">
      <c r="D318" s="14" t="s">
        <v>2385</v>
      </c>
      <c r="E318">
        <v>2380</v>
      </c>
      <c r="F318">
        <v>0</v>
      </c>
      <c r="G318">
        <v>0</v>
      </c>
      <c r="H318">
        <v>0</v>
      </c>
    </row>
    <row r="319" spans="2:9">
      <c r="C319" s="14" t="s">
        <v>731</v>
      </c>
      <c r="E319">
        <v>16560</v>
      </c>
      <c r="F319">
        <v>14136811.16</v>
      </c>
      <c r="G319">
        <v>57333</v>
      </c>
      <c r="H319">
        <v>9240947.1600000001</v>
      </c>
    </row>
    <row r="320" spans="2:9">
      <c r="B320" s="14" t="s">
        <v>693</v>
      </c>
      <c r="E320">
        <v>16560</v>
      </c>
      <c r="F320">
        <v>91614481.990151003</v>
      </c>
      <c r="G320">
        <v>69278</v>
      </c>
      <c r="H320">
        <v>87425756.839999989</v>
      </c>
    </row>
    <row r="321" spans="1:8">
      <c r="A321" s="14">
        <v>18</v>
      </c>
      <c r="B321" s="14" t="s">
        <v>57</v>
      </c>
      <c r="C321" s="14" t="s">
        <v>2773</v>
      </c>
      <c r="D321" s="14" t="s">
        <v>2772</v>
      </c>
      <c r="F321">
        <v>0</v>
      </c>
    </row>
    <row r="322" spans="1:8">
      <c r="C322" s="14" t="s">
        <v>2774</v>
      </c>
      <c r="F322">
        <v>0</v>
      </c>
    </row>
    <row r="323" spans="1:8">
      <c r="B323" s="14" t="s">
        <v>695</v>
      </c>
      <c r="F323">
        <v>0</v>
      </c>
    </row>
    <row r="324" spans="1:8">
      <c r="B324" s="14" t="s">
        <v>235</v>
      </c>
      <c r="C324" s="14" t="s">
        <v>369</v>
      </c>
      <c r="D324" s="14" t="s">
        <v>368</v>
      </c>
      <c r="E324">
        <v>0</v>
      </c>
      <c r="F324">
        <v>1087441</v>
      </c>
      <c r="G324">
        <v>0</v>
      </c>
      <c r="H324">
        <v>1152229</v>
      </c>
    </row>
    <row r="325" spans="1:8">
      <c r="C325" s="14" t="s">
        <v>732</v>
      </c>
      <c r="E325">
        <v>0</v>
      </c>
      <c r="F325">
        <v>1087441</v>
      </c>
      <c r="G325">
        <v>0</v>
      </c>
      <c r="H325">
        <v>1152229</v>
      </c>
    </row>
    <row r="326" spans="1:8">
      <c r="B326" s="14" t="s">
        <v>694</v>
      </c>
      <c r="E326">
        <v>0</v>
      </c>
      <c r="F326">
        <v>1087441</v>
      </c>
      <c r="G326">
        <v>0</v>
      </c>
      <c r="H326">
        <v>1152229</v>
      </c>
    </row>
    <row r="327" spans="1:8">
      <c r="A327" s="14">
        <v>19</v>
      </c>
      <c r="B327" s="14" t="s">
        <v>57</v>
      </c>
      <c r="C327" s="14" t="s">
        <v>96</v>
      </c>
      <c r="D327" s="14" t="s">
        <v>97</v>
      </c>
      <c r="E327">
        <v>0</v>
      </c>
      <c r="F327">
        <v>0</v>
      </c>
      <c r="G327">
        <v>0</v>
      </c>
      <c r="H327">
        <v>0</v>
      </c>
    </row>
    <row r="328" spans="1:8">
      <c r="D328" s="14" t="s">
        <v>351</v>
      </c>
      <c r="E328">
        <v>116981</v>
      </c>
      <c r="F328">
        <v>0</v>
      </c>
      <c r="G328">
        <v>0</v>
      </c>
      <c r="H328">
        <v>0</v>
      </c>
    </row>
    <row r="329" spans="1:8">
      <c r="D329" s="14" t="s">
        <v>429</v>
      </c>
      <c r="E329">
        <v>0</v>
      </c>
      <c r="F329">
        <v>0</v>
      </c>
      <c r="G329">
        <v>0</v>
      </c>
      <c r="H329">
        <v>2903011.18</v>
      </c>
    </row>
    <row r="330" spans="1:8">
      <c r="D330" s="14" t="s">
        <v>548</v>
      </c>
      <c r="E330">
        <v>0</v>
      </c>
      <c r="F330">
        <v>3388226.94</v>
      </c>
    </row>
    <row r="331" spans="1:8">
      <c r="D331" s="14" t="s">
        <v>549</v>
      </c>
      <c r="E331">
        <v>2263811.12</v>
      </c>
      <c r="F331">
        <v>0</v>
      </c>
    </row>
    <row r="332" spans="1:8">
      <c r="D332" s="14" t="s">
        <v>445</v>
      </c>
      <c r="E332">
        <v>0</v>
      </c>
      <c r="F332">
        <v>0</v>
      </c>
      <c r="G332">
        <v>0</v>
      </c>
      <c r="H332">
        <v>308166.59000000003</v>
      </c>
    </row>
    <row r="333" spans="1:8">
      <c r="D333" s="14" t="s">
        <v>446</v>
      </c>
      <c r="E333">
        <v>0</v>
      </c>
      <c r="F333">
        <v>0</v>
      </c>
      <c r="G333">
        <v>315731.11</v>
      </c>
      <c r="H333">
        <v>0</v>
      </c>
    </row>
    <row r="334" spans="1:8">
      <c r="D334" s="14" t="s">
        <v>571</v>
      </c>
      <c r="E334">
        <v>0</v>
      </c>
      <c r="F334">
        <v>1402087</v>
      </c>
    </row>
    <row r="335" spans="1:8">
      <c r="D335" s="14" t="s">
        <v>572</v>
      </c>
      <c r="E335">
        <v>1932482.82</v>
      </c>
      <c r="F335">
        <v>0</v>
      </c>
    </row>
    <row r="336" spans="1:8">
      <c r="D336" s="14" t="s">
        <v>348</v>
      </c>
      <c r="E336">
        <v>0</v>
      </c>
      <c r="F336">
        <v>40975</v>
      </c>
      <c r="G336">
        <v>0</v>
      </c>
      <c r="H336">
        <v>21303</v>
      </c>
    </row>
    <row r="337" spans="3:8">
      <c r="D337" s="14" t="s">
        <v>349</v>
      </c>
      <c r="E337">
        <v>0</v>
      </c>
      <c r="F337">
        <v>84100</v>
      </c>
      <c r="G337">
        <v>0</v>
      </c>
      <c r="H337">
        <v>124753</v>
      </c>
    </row>
    <row r="338" spans="3:8">
      <c r="D338" s="14" t="s">
        <v>350</v>
      </c>
      <c r="E338">
        <v>0</v>
      </c>
      <c r="F338">
        <v>40975</v>
      </c>
      <c r="G338">
        <v>0</v>
      </c>
      <c r="H338">
        <v>21303</v>
      </c>
    </row>
    <row r="339" spans="3:8">
      <c r="D339" s="14" t="s">
        <v>98</v>
      </c>
      <c r="E339">
        <v>0</v>
      </c>
      <c r="F339">
        <v>0</v>
      </c>
      <c r="G339">
        <v>0</v>
      </c>
      <c r="H339">
        <v>0</v>
      </c>
    </row>
    <row r="340" spans="3:8">
      <c r="D340" s="14" t="s">
        <v>352</v>
      </c>
      <c r="E340">
        <v>116981</v>
      </c>
      <c r="F340">
        <v>0</v>
      </c>
      <c r="G340">
        <v>0</v>
      </c>
      <c r="H340">
        <v>0</v>
      </c>
    </row>
    <row r="341" spans="3:8">
      <c r="D341" s="14" t="s">
        <v>630</v>
      </c>
      <c r="E341">
        <v>0</v>
      </c>
      <c r="F341">
        <v>3387430.12</v>
      </c>
    </row>
    <row r="342" spans="3:8">
      <c r="D342" s="14" t="s">
        <v>474</v>
      </c>
      <c r="E342">
        <v>0</v>
      </c>
      <c r="F342">
        <v>0</v>
      </c>
      <c r="G342">
        <v>0</v>
      </c>
      <c r="H342">
        <v>2903011.08</v>
      </c>
    </row>
    <row r="343" spans="3:8">
      <c r="D343" s="14" t="s">
        <v>631</v>
      </c>
      <c r="E343">
        <v>2263811.12</v>
      </c>
      <c r="F343">
        <v>0</v>
      </c>
    </row>
    <row r="344" spans="3:8">
      <c r="D344" s="14" t="s">
        <v>2763</v>
      </c>
      <c r="E344">
        <v>807</v>
      </c>
      <c r="F344">
        <v>0</v>
      </c>
      <c r="G344">
        <v>0</v>
      </c>
      <c r="H344">
        <v>0</v>
      </c>
    </row>
    <row r="345" spans="3:8">
      <c r="C345" s="14" t="s">
        <v>733</v>
      </c>
      <c r="E345">
        <v>6694874.0600000005</v>
      </c>
      <c r="F345">
        <v>8343794.0599999996</v>
      </c>
      <c r="G345">
        <v>315731.11</v>
      </c>
      <c r="H345">
        <v>6281547.8499999996</v>
      </c>
    </row>
    <row r="346" spans="3:8">
      <c r="C346" s="14" t="s">
        <v>672</v>
      </c>
      <c r="D346" s="14" t="s">
        <v>598</v>
      </c>
      <c r="E346">
        <v>0</v>
      </c>
      <c r="F346">
        <v>2500</v>
      </c>
    </row>
    <row r="347" spans="3:8">
      <c r="C347" s="14" t="s">
        <v>734</v>
      </c>
      <c r="E347">
        <v>0</v>
      </c>
      <c r="F347">
        <v>2500</v>
      </c>
    </row>
    <row r="348" spans="3:8">
      <c r="C348" s="14" t="s">
        <v>114</v>
      </c>
      <c r="D348" s="14" t="s">
        <v>113</v>
      </c>
      <c r="E348">
        <v>0</v>
      </c>
      <c r="F348">
        <v>23072</v>
      </c>
      <c r="G348">
        <v>0</v>
      </c>
      <c r="H348">
        <v>22944</v>
      </c>
    </row>
    <row r="349" spans="3:8">
      <c r="D349" s="14" t="s">
        <v>115</v>
      </c>
      <c r="E349">
        <v>0</v>
      </c>
      <c r="F349">
        <v>202410</v>
      </c>
      <c r="G349">
        <v>0</v>
      </c>
      <c r="H349">
        <v>198784</v>
      </c>
    </row>
    <row r="350" spans="3:8">
      <c r="D350" s="14" t="s">
        <v>390</v>
      </c>
      <c r="E350">
        <v>0</v>
      </c>
      <c r="F350">
        <v>11575</v>
      </c>
      <c r="G350">
        <v>0</v>
      </c>
      <c r="H350">
        <v>11175</v>
      </c>
    </row>
    <row r="351" spans="3:8">
      <c r="D351" s="14" t="s">
        <v>407</v>
      </c>
      <c r="E351">
        <v>0</v>
      </c>
      <c r="F351">
        <v>9325.82</v>
      </c>
      <c r="G351">
        <v>0</v>
      </c>
      <c r="H351">
        <v>12998.22</v>
      </c>
    </row>
    <row r="352" spans="3:8">
      <c r="D352" s="14" t="s">
        <v>406</v>
      </c>
      <c r="E352">
        <v>0</v>
      </c>
      <c r="F352">
        <v>141960</v>
      </c>
      <c r="G352">
        <v>0</v>
      </c>
      <c r="H352">
        <v>86477</v>
      </c>
    </row>
    <row r="353" spans="1:8">
      <c r="D353" s="14" t="s">
        <v>408</v>
      </c>
      <c r="E353">
        <v>0</v>
      </c>
      <c r="F353">
        <v>5250</v>
      </c>
      <c r="G353">
        <v>0</v>
      </c>
      <c r="H353">
        <v>5000</v>
      </c>
    </row>
    <row r="354" spans="1:8">
      <c r="D354" s="14" t="s">
        <v>409</v>
      </c>
      <c r="E354">
        <v>0</v>
      </c>
      <c r="F354">
        <v>2555</v>
      </c>
      <c r="G354">
        <v>0</v>
      </c>
      <c r="H354">
        <v>11758</v>
      </c>
    </row>
    <row r="355" spans="1:8">
      <c r="D355" s="14" t="s">
        <v>410</v>
      </c>
      <c r="E355">
        <v>0</v>
      </c>
      <c r="F355">
        <v>61052.04</v>
      </c>
      <c r="G355">
        <v>0</v>
      </c>
      <c r="H355">
        <v>44158.04</v>
      </c>
    </row>
    <row r="356" spans="1:8">
      <c r="D356" s="14" t="s">
        <v>411</v>
      </c>
      <c r="E356">
        <v>0</v>
      </c>
      <c r="F356">
        <v>60934</v>
      </c>
      <c r="G356">
        <v>0</v>
      </c>
      <c r="H356">
        <v>47015</v>
      </c>
    </row>
    <row r="357" spans="1:8">
      <c r="D357" s="14" t="s">
        <v>483</v>
      </c>
      <c r="E357">
        <v>0</v>
      </c>
      <c r="F357">
        <v>49527</v>
      </c>
      <c r="G357">
        <v>0</v>
      </c>
      <c r="H357">
        <v>91593</v>
      </c>
    </row>
    <row r="358" spans="1:8">
      <c r="D358" s="14" t="s">
        <v>412</v>
      </c>
      <c r="E358">
        <v>0</v>
      </c>
      <c r="F358">
        <v>5000</v>
      </c>
      <c r="G358">
        <v>0</v>
      </c>
      <c r="H358">
        <v>7000</v>
      </c>
    </row>
    <row r="359" spans="1:8">
      <c r="D359" s="14" t="s">
        <v>413</v>
      </c>
      <c r="E359">
        <v>0</v>
      </c>
      <c r="F359">
        <v>27071</v>
      </c>
      <c r="G359">
        <v>0</v>
      </c>
      <c r="H359">
        <v>4651</v>
      </c>
    </row>
    <row r="360" spans="1:8">
      <c r="D360" s="14" t="s">
        <v>414</v>
      </c>
      <c r="E360">
        <v>0</v>
      </c>
      <c r="F360">
        <v>61380</v>
      </c>
      <c r="G360">
        <v>0</v>
      </c>
      <c r="H360">
        <v>59000</v>
      </c>
    </row>
    <row r="361" spans="1:8">
      <c r="C361" s="14" t="s">
        <v>735</v>
      </c>
      <c r="E361">
        <v>0</v>
      </c>
      <c r="F361">
        <v>661111.86</v>
      </c>
      <c r="G361">
        <v>0</v>
      </c>
      <c r="H361">
        <v>602553.26</v>
      </c>
    </row>
    <row r="362" spans="1:8">
      <c r="B362" s="14" t="s">
        <v>695</v>
      </c>
      <c r="E362">
        <v>6694874.0600000005</v>
      </c>
      <c r="F362">
        <v>9007405.9199999981</v>
      </c>
      <c r="G362">
        <v>315731.11</v>
      </c>
      <c r="H362">
        <v>6884101.1099999994</v>
      </c>
    </row>
    <row r="363" spans="1:8">
      <c r="A363" s="14">
        <v>20</v>
      </c>
      <c r="B363" s="14" t="s">
        <v>211</v>
      </c>
      <c r="C363" s="14" t="s">
        <v>139</v>
      </c>
      <c r="D363" s="14" t="s">
        <v>210</v>
      </c>
      <c r="E363">
        <v>0</v>
      </c>
      <c r="F363">
        <v>0</v>
      </c>
      <c r="G363">
        <v>0</v>
      </c>
      <c r="H363">
        <v>1486209</v>
      </c>
    </row>
    <row r="364" spans="1:8">
      <c r="D364" s="14" t="s">
        <v>257</v>
      </c>
      <c r="E364">
        <v>0</v>
      </c>
      <c r="F364">
        <v>233275</v>
      </c>
      <c r="G364">
        <v>0</v>
      </c>
      <c r="H364">
        <v>221807</v>
      </c>
    </row>
    <row r="365" spans="1:8">
      <c r="C365" s="14" t="s">
        <v>728</v>
      </c>
      <c r="E365">
        <v>0</v>
      </c>
      <c r="F365">
        <v>233275</v>
      </c>
      <c r="G365">
        <v>0</v>
      </c>
      <c r="H365">
        <v>1708016</v>
      </c>
    </row>
    <row r="366" spans="1:8">
      <c r="B366" s="14" t="s">
        <v>696</v>
      </c>
      <c r="E366">
        <v>0</v>
      </c>
      <c r="F366">
        <v>233275</v>
      </c>
      <c r="G366">
        <v>0</v>
      </c>
      <c r="H366">
        <v>1708016</v>
      </c>
    </row>
    <row r="367" spans="1:8">
      <c r="A367" s="14">
        <v>21</v>
      </c>
      <c r="B367" s="14" t="s">
        <v>158</v>
      </c>
      <c r="C367" s="14" t="s">
        <v>314</v>
      </c>
      <c r="D367" s="14" t="s">
        <v>313</v>
      </c>
      <c r="E367">
        <v>0</v>
      </c>
      <c r="F367">
        <v>9443500</v>
      </c>
      <c r="G367">
        <v>0</v>
      </c>
      <c r="H367">
        <v>9433000</v>
      </c>
    </row>
    <row r="368" spans="1:8">
      <c r="C368" s="14" t="s">
        <v>736</v>
      </c>
      <c r="E368">
        <v>0</v>
      </c>
      <c r="F368">
        <v>9443500</v>
      </c>
      <c r="G368">
        <v>0</v>
      </c>
      <c r="H368">
        <v>9433000</v>
      </c>
    </row>
    <row r="369" spans="1:8">
      <c r="C369" s="14" t="s">
        <v>159</v>
      </c>
      <c r="D369" s="14" t="s">
        <v>546</v>
      </c>
      <c r="E369">
        <v>577328.1</v>
      </c>
      <c r="F369">
        <v>0</v>
      </c>
    </row>
    <row r="370" spans="1:8">
      <c r="D370" s="14" t="s">
        <v>157</v>
      </c>
      <c r="E370">
        <v>0</v>
      </c>
      <c r="F370">
        <v>0</v>
      </c>
      <c r="G370">
        <v>3692009</v>
      </c>
      <c r="H370">
        <v>0</v>
      </c>
    </row>
    <row r="371" spans="1:8">
      <c r="D371" s="14" t="s">
        <v>436</v>
      </c>
      <c r="E371">
        <v>47111095.43</v>
      </c>
      <c r="F371">
        <v>0</v>
      </c>
      <c r="G371">
        <v>39401489</v>
      </c>
      <c r="H371">
        <v>0</v>
      </c>
    </row>
    <row r="372" spans="1:8">
      <c r="D372" s="14" t="s">
        <v>178</v>
      </c>
      <c r="E372">
        <v>0</v>
      </c>
      <c r="F372">
        <v>0</v>
      </c>
      <c r="G372">
        <v>0</v>
      </c>
      <c r="H372">
        <v>15060978</v>
      </c>
    </row>
    <row r="373" spans="1:8">
      <c r="D373" s="14" t="s">
        <v>292</v>
      </c>
      <c r="E373">
        <v>0</v>
      </c>
      <c r="F373">
        <v>505220</v>
      </c>
      <c r="G373">
        <v>0</v>
      </c>
      <c r="H373">
        <v>393392</v>
      </c>
    </row>
    <row r="374" spans="1:8">
      <c r="D374" s="14" t="s">
        <v>374</v>
      </c>
      <c r="E374">
        <v>0</v>
      </c>
      <c r="F374">
        <v>603566</v>
      </c>
      <c r="G374">
        <v>0</v>
      </c>
      <c r="H374">
        <v>1177784</v>
      </c>
    </row>
    <row r="375" spans="1:8">
      <c r="D375" s="14" t="s">
        <v>375</v>
      </c>
      <c r="E375">
        <v>0</v>
      </c>
      <c r="F375">
        <v>930626444.45000005</v>
      </c>
      <c r="G375">
        <v>0</v>
      </c>
      <c r="H375">
        <v>996978842.14999998</v>
      </c>
    </row>
    <row r="376" spans="1:8">
      <c r="D376" s="14" t="s">
        <v>160</v>
      </c>
      <c r="E376">
        <v>0</v>
      </c>
      <c r="F376">
        <v>138935526.5</v>
      </c>
      <c r="G376">
        <v>0</v>
      </c>
      <c r="H376">
        <v>121315419.15000001</v>
      </c>
    </row>
    <row r="377" spans="1:8">
      <c r="D377" s="14" t="s">
        <v>381</v>
      </c>
      <c r="E377">
        <v>0</v>
      </c>
      <c r="F377">
        <v>20016750.5</v>
      </c>
      <c r="G377">
        <v>0</v>
      </c>
      <c r="H377">
        <v>22958399.75</v>
      </c>
    </row>
    <row r="378" spans="1:8">
      <c r="D378" s="14" t="s">
        <v>388</v>
      </c>
      <c r="E378">
        <v>0</v>
      </c>
      <c r="F378">
        <v>0</v>
      </c>
      <c r="G378">
        <v>3229</v>
      </c>
      <c r="H378">
        <v>0</v>
      </c>
    </row>
    <row r="379" spans="1:8">
      <c r="D379" s="14" t="s">
        <v>419</v>
      </c>
      <c r="E379">
        <v>124881.5</v>
      </c>
      <c r="F379">
        <v>0</v>
      </c>
      <c r="G379">
        <v>199577.3</v>
      </c>
      <c r="H379">
        <v>0</v>
      </c>
    </row>
    <row r="380" spans="1:8">
      <c r="C380" s="14" t="s">
        <v>737</v>
      </c>
      <c r="E380">
        <v>47813305.030000001</v>
      </c>
      <c r="F380">
        <v>1090687507.45</v>
      </c>
      <c r="G380">
        <v>43296304.299999997</v>
      </c>
      <c r="H380">
        <v>1157884815.05</v>
      </c>
    </row>
    <row r="381" spans="1:8">
      <c r="B381" s="14" t="s">
        <v>697</v>
      </c>
      <c r="E381">
        <v>47813305.030000001</v>
      </c>
      <c r="F381">
        <v>1100131007.45</v>
      </c>
      <c r="G381">
        <v>43296304.299999997</v>
      </c>
      <c r="H381">
        <v>1167317815.05</v>
      </c>
    </row>
    <row r="382" spans="1:8">
      <c r="A382" s="14">
        <v>22</v>
      </c>
      <c r="B382" s="14" t="s">
        <v>59</v>
      </c>
      <c r="C382" s="14" t="s">
        <v>190</v>
      </c>
      <c r="D382" s="14" t="s">
        <v>189</v>
      </c>
      <c r="E382">
        <v>0</v>
      </c>
      <c r="F382">
        <v>889167.66984900087</v>
      </c>
      <c r="G382">
        <v>0</v>
      </c>
      <c r="H382">
        <v>1231216</v>
      </c>
    </row>
    <row r="383" spans="1:8">
      <c r="C383" s="14" t="s">
        <v>738</v>
      </c>
      <c r="E383">
        <v>0</v>
      </c>
      <c r="F383">
        <v>889167.66984900087</v>
      </c>
      <c r="G383">
        <v>0</v>
      </c>
      <c r="H383">
        <v>1231216</v>
      </c>
    </row>
    <row r="384" spans="1:8">
      <c r="C384" s="14" t="s">
        <v>224</v>
      </c>
      <c r="D384" s="14" t="s">
        <v>223</v>
      </c>
      <c r="E384">
        <v>0</v>
      </c>
      <c r="F384">
        <v>202145.39</v>
      </c>
      <c r="G384">
        <v>0</v>
      </c>
      <c r="H384">
        <v>160002.60999999999</v>
      </c>
    </row>
    <row r="385" spans="1:8">
      <c r="C385" s="14" t="s">
        <v>739</v>
      </c>
      <c r="E385">
        <v>0</v>
      </c>
      <c r="F385">
        <v>202145.39</v>
      </c>
      <c r="G385">
        <v>0</v>
      </c>
      <c r="H385">
        <v>160002.60999999999</v>
      </c>
    </row>
    <row r="386" spans="1:8">
      <c r="B386" s="14" t="s">
        <v>698</v>
      </c>
      <c r="E386">
        <v>0</v>
      </c>
      <c r="F386">
        <v>1091313.059849001</v>
      </c>
      <c r="G386">
        <v>0</v>
      </c>
      <c r="H386">
        <v>1391218.6099999999</v>
      </c>
    </row>
    <row r="387" spans="1:8">
      <c r="A387" s="14">
        <v>23</v>
      </c>
      <c r="B387" s="14" t="s">
        <v>102</v>
      </c>
      <c r="C387" s="14" t="s">
        <v>103</v>
      </c>
      <c r="D387" s="14" t="s">
        <v>101</v>
      </c>
      <c r="E387">
        <v>51776100</v>
      </c>
      <c r="F387">
        <v>0</v>
      </c>
      <c r="G387">
        <v>48786325</v>
      </c>
      <c r="H387">
        <v>0</v>
      </c>
    </row>
    <row r="388" spans="1:8">
      <c r="D388" s="14" t="s">
        <v>106</v>
      </c>
      <c r="E388">
        <v>42501627</v>
      </c>
      <c r="F388">
        <v>0</v>
      </c>
      <c r="G388">
        <v>21589538</v>
      </c>
      <c r="H388">
        <v>0</v>
      </c>
    </row>
    <row r="389" spans="1:8">
      <c r="D389" s="14" t="s">
        <v>435</v>
      </c>
      <c r="E389">
        <v>5672492</v>
      </c>
      <c r="F389">
        <v>0</v>
      </c>
      <c r="G389">
        <v>826334</v>
      </c>
      <c r="H389">
        <v>0</v>
      </c>
    </row>
    <row r="390" spans="1:8">
      <c r="D390" s="14" t="s">
        <v>175</v>
      </c>
      <c r="E390">
        <v>0</v>
      </c>
      <c r="F390">
        <v>0</v>
      </c>
      <c r="G390">
        <v>5916</v>
      </c>
      <c r="H390">
        <v>0</v>
      </c>
    </row>
    <row r="391" spans="1:8">
      <c r="D391" s="14" t="s">
        <v>191</v>
      </c>
      <c r="E391">
        <v>0</v>
      </c>
      <c r="F391">
        <v>0</v>
      </c>
      <c r="G391">
        <v>150805</v>
      </c>
      <c r="H391">
        <v>0</v>
      </c>
    </row>
    <row r="392" spans="1:8">
      <c r="D392" s="14" t="s">
        <v>209</v>
      </c>
      <c r="E392">
        <v>205342673</v>
      </c>
      <c r="F392">
        <v>0</v>
      </c>
      <c r="G392">
        <v>142111717</v>
      </c>
      <c r="H392">
        <v>0</v>
      </c>
    </row>
    <row r="393" spans="1:8">
      <c r="D393" s="14" t="s">
        <v>285</v>
      </c>
      <c r="E393">
        <v>28831</v>
      </c>
      <c r="F393">
        <v>0</v>
      </c>
      <c r="G393">
        <v>21740</v>
      </c>
      <c r="H393">
        <v>0</v>
      </c>
    </row>
    <row r="394" spans="1:8">
      <c r="D394" s="14" t="s">
        <v>286</v>
      </c>
      <c r="E394">
        <v>1200</v>
      </c>
      <c r="F394">
        <v>0</v>
      </c>
      <c r="G394">
        <v>3400</v>
      </c>
      <c r="H394">
        <v>0</v>
      </c>
    </row>
    <row r="395" spans="1:8">
      <c r="D395" s="14" t="s">
        <v>291</v>
      </c>
      <c r="E395">
        <v>216806</v>
      </c>
      <c r="F395">
        <v>0</v>
      </c>
      <c r="G395">
        <v>175062.8</v>
      </c>
      <c r="H395">
        <v>0</v>
      </c>
    </row>
    <row r="396" spans="1:8">
      <c r="D396" s="14" t="s">
        <v>336</v>
      </c>
      <c r="E396">
        <v>293050</v>
      </c>
      <c r="F396">
        <v>0</v>
      </c>
      <c r="G396">
        <v>340090</v>
      </c>
      <c r="H396">
        <v>0</v>
      </c>
    </row>
    <row r="397" spans="1:8">
      <c r="D397" s="14" t="s">
        <v>339</v>
      </c>
      <c r="E397">
        <v>15197750</v>
      </c>
      <c r="F397">
        <v>0</v>
      </c>
      <c r="G397">
        <v>0</v>
      </c>
      <c r="H397">
        <v>0</v>
      </c>
    </row>
    <row r="398" spans="1:8">
      <c r="D398" s="14" t="s">
        <v>423</v>
      </c>
      <c r="E398">
        <v>487412</v>
      </c>
      <c r="F398">
        <v>0</v>
      </c>
      <c r="G398">
        <v>938042.5</v>
      </c>
      <c r="H398">
        <v>0</v>
      </c>
    </row>
    <row r="399" spans="1:8">
      <c r="D399" s="14" t="s">
        <v>511</v>
      </c>
      <c r="E399">
        <v>501477134.5</v>
      </c>
      <c r="F399">
        <v>0</v>
      </c>
      <c r="G399">
        <v>637901422.5</v>
      </c>
      <c r="H399">
        <v>0</v>
      </c>
    </row>
    <row r="400" spans="1:8">
      <c r="D400" s="14" t="s">
        <v>2761</v>
      </c>
      <c r="E400">
        <v>2760009</v>
      </c>
      <c r="F400">
        <v>0</v>
      </c>
      <c r="G400">
        <v>0</v>
      </c>
      <c r="H400">
        <v>0</v>
      </c>
    </row>
    <row r="401" spans="1:8">
      <c r="D401" s="14" t="s">
        <v>2935</v>
      </c>
      <c r="E401">
        <v>419631</v>
      </c>
      <c r="F401">
        <v>0</v>
      </c>
      <c r="G401">
        <v>0</v>
      </c>
      <c r="H401">
        <v>0</v>
      </c>
    </row>
    <row r="402" spans="1:8">
      <c r="C402" s="14" t="s">
        <v>740</v>
      </c>
      <c r="E402">
        <v>826174715.5</v>
      </c>
      <c r="F402">
        <v>0</v>
      </c>
      <c r="G402">
        <v>852850392.79999995</v>
      </c>
      <c r="H402">
        <v>0</v>
      </c>
    </row>
    <row r="403" spans="1:8">
      <c r="B403" s="14" t="s">
        <v>699</v>
      </c>
      <c r="E403">
        <v>826174715.5</v>
      </c>
      <c r="F403">
        <v>0</v>
      </c>
      <c r="G403">
        <v>852850392.79999995</v>
      </c>
      <c r="H403">
        <v>0</v>
      </c>
    </row>
    <row r="404" spans="1:8">
      <c r="A404" s="14">
        <v>25</v>
      </c>
      <c r="B404" s="14" t="s">
        <v>155</v>
      </c>
      <c r="C404" s="14" t="s">
        <v>172</v>
      </c>
      <c r="D404" s="14" t="s">
        <v>171</v>
      </c>
      <c r="E404">
        <v>236264</v>
      </c>
      <c r="F404">
        <v>0</v>
      </c>
      <c r="G404">
        <v>234882</v>
      </c>
      <c r="H404">
        <v>0</v>
      </c>
    </row>
    <row r="405" spans="1:8">
      <c r="D405" s="14" t="s">
        <v>198</v>
      </c>
      <c r="E405">
        <v>871518</v>
      </c>
      <c r="F405">
        <v>0</v>
      </c>
      <c r="G405">
        <v>912232</v>
      </c>
      <c r="H405">
        <v>0</v>
      </c>
    </row>
    <row r="406" spans="1:8">
      <c r="D406" s="14" t="s">
        <v>315</v>
      </c>
      <c r="E406">
        <v>1309161</v>
      </c>
      <c r="F406">
        <v>0</v>
      </c>
      <c r="G406">
        <v>1283384</v>
      </c>
      <c r="H406">
        <v>0</v>
      </c>
    </row>
    <row r="407" spans="1:8">
      <c r="C407" s="14" t="s">
        <v>741</v>
      </c>
      <c r="E407">
        <v>2416943</v>
      </c>
      <c r="F407">
        <v>0</v>
      </c>
      <c r="G407">
        <v>2430498</v>
      </c>
      <c r="H407">
        <v>0</v>
      </c>
    </row>
    <row r="408" spans="1:8">
      <c r="C408" s="14" t="s">
        <v>156</v>
      </c>
      <c r="D408" s="14" t="s">
        <v>154</v>
      </c>
      <c r="E408">
        <v>33000</v>
      </c>
      <c r="F408">
        <v>0</v>
      </c>
      <c r="G408">
        <v>46500</v>
      </c>
      <c r="H408">
        <v>0</v>
      </c>
    </row>
    <row r="409" spans="1:8">
      <c r="D409" s="14" t="s">
        <v>212</v>
      </c>
      <c r="E409">
        <v>0</v>
      </c>
      <c r="F409">
        <v>813182</v>
      </c>
      <c r="G409">
        <v>1234315</v>
      </c>
      <c r="H409">
        <v>0</v>
      </c>
    </row>
    <row r="410" spans="1:8">
      <c r="D410" s="14" t="s">
        <v>174</v>
      </c>
      <c r="E410">
        <v>10975</v>
      </c>
      <c r="F410">
        <v>0</v>
      </c>
      <c r="G410">
        <v>10320</v>
      </c>
      <c r="H410">
        <v>0</v>
      </c>
    </row>
    <row r="411" spans="1:8">
      <c r="D411" s="14" t="s">
        <v>256</v>
      </c>
      <c r="E411">
        <v>233275</v>
      </c>
      <c r="F411">
        <v>0</v>
      </c>
      <c r="G411">
        <v>221807</v>
      </c>
      <c r="H411">
        <v>0</v>
      </c>
    </row>
    <row r="412" spans="1:8">
      <c r="D412" s="14" t="s">
        <v>353</v>
      </c>
      <c r="E412">
        <v>3072000</v>
      </c>
      <c r="F412">
        <v>0</v>
      </c>
      <c r="G412">
        <v>4723871</v>
      </c>
      <c r="H412">
        <v>0</v>
      </c>
    </row>
    <row r="413" spans="1:8">
      <c r="D413" s="14" t="s">
        <v>370</v>
      </c>
      <c r="E413">
        <v>237000</v>
      </c>
      <c r="F413">
        <v>0</v>
      </c>
      <c r="G413">
        <v>222000</v>
      </c>
      <c r="H413">
        <v>0</v>
      </c>
    </row>
    <row r="414" spans="1:8">
      <c r="D414" s="14" t="s">
        <v>371</v>
      </c>
      <c r="E414">
        <v>2732000</v>
      </c>
      <c r="F414">
        <v>0</v>
      </c>
      <c r="G414">
        <v>2764949</v>
      </c>
      <c r="H414">
        <v>0</v>
      </c>
    </row>
    <row r="415" spans="1:8">
      <c r="D415" s="14" t="s">
        <v>372</v>
      </c>
      <c r="E415">
        <v>2857400</v>
      </c>
      <c r="F415">
        <v>0</v>
      </c>
      <c r="G415">
        <v>2678400</v>
      </c>
      <c r="H415">
        <v>0</v>
      </c>
    </row>
    <row r="416" spans="1:8">
      <c r="D416" s="14" t="s">
        <v>373</v>
      </c>
      <c r="E416">
        <v>7499801</v>
      </c>
      <c r="F416">
        <v>0</v>
      </c>
      <c r="G416">
        <v>10002813</v>
      </c>
      <c r="H416">
        <v>0</v>
      </c>
    </row>
    <row r="417" spans="1:8">
      <c r="C417" s="14" t="s">
        <v>742</v>
      </c>
      <c r="E417">
        <v>16675451</v>
      </c>
      <c r="F417">
        <v>813182</v>
      </c>
      <c r="G417">
        <v>21904975</v>
      </c>
      <c r="H417">
        <v>0</v>
      </c>
    </row>
    <row r="418" spans="1:8">
      <c r="C418" s="14" t="s">
        <v>270</v>
      </c>
      <c r="D418" s="14" t="s">
        <v>269</v>
      </c>
      <c r="E418">
        <v>194520</v>
      </c>
      <c r="F418">
        <v>0</v>
      </c>
      <c r="G418">
        <v>198462</v>
      </c>
      <c r="H418">
        <v>0</v>
      </c>
    </row>
    <row r="419" spans="1:8">
      <c r="C419" s="14" t="s">
        <v>743</v>
      </c>
      <c r="E419">
        <v>194520</v>
      </c>
      <c r="F419">
        <v>0</v>
      </c>
      <c r="G419">
        <v>198462</v>
      </c>
      <c r="H419">
        <v>0</v>
      </c>
    </row>
    <row r="420" spans="1:8">
      <c r="B420" s="14" t="s">
        <v>700</v>
      </c>
      <c r="E420">
        <v>19286914</v>
      </c>
      <c r="F420">
        <v>813182</v>
      </c>
      <c r="G420">
        <v>24533935</v>
      </c>
      <c r="H420">
        <v>0</v>
      </c>
    </row>
    <row r="421" spans="1:8">
      <c r="A421" s="14">
        <v>26</v>
      </c>
      <c r="B421" s="14" t="s">
        <v>71</v>
      </c>
      <c r="C421" s="14" t="s">
        <v>225</v>
      </c>
      <c r="D421" s="14" t="s">
        <v>226</v>
      </c>
      <c r="E421">
        <v>0</v>
      </c>
      <c r="F421">
        <v>0</v>
      </c>
      <c r="G421">
        <v>115865.81</v>
      </c>
      <c r="H421">
        <v>0</v>
      </c>
    </row>
    <row r="422" spans="1:8">
      <c r="D422" s="14" t="s">
        <v>227</v>
      </c>
      <c r="E422">
        <v>0</v>
      </c>
      <c r="F422">
        <v>0</v>
      </c>
      <c r="G422">
        <v>143075.34</v>
      </c>
      <c r="H422">
        <v>0</v>
      </c>
    </row>
    <row r="423" spans="1:8">
      <c r="D423" s="14" t="s">
        <v>494</v>
      </c>
      <c r="E423">
        <v>0</v>
      </c>
      <c r="F423">
        <v>0</v>
      </c>
      <c r="G423">
        <v>948949</v>
      </c>
      <c r="H423">
        <v>0</v>
      </c>
    </row>
    <row r="424" spans="1:8">
      <c r="D424" s="14" t="s">
        <v>236</v>
      </c>
      <c r="E424">
        <v>6463408</v>
      </c>
      <c r="F424">
        <v>0</v>
      </c>
      <c r="G424">
        <v>4146914</v>
      </c>
      <c r="H424">
        <v>0</v>
      </c>
    </row>
    <row r="425" spans="1:8">
      <c r="D425" s="14" t="s">
        <v>453</v>
      </c>
      <c r="E425">
        <v>0</v>
      </c>
      <c r="F425">
        <v>0</v>
      </c>
      <c r="G425">
        <v>193596</v>
      </c>
      <c r="H425">
        <v>0</v>
      </c>
    </row>
    <row r="426" spans="1:8">
      <c r="D426" s="14" t="s">
        <v>237</v>
      </c>
      <c r="E426">
        <v>1926416</v>
      </c>
      <c r="F426">
        <v>0</v>
      </c>
      <c r="G426">
        <v>1795701</v>
      </c>
      <c r="H426">
        <v>0</v>
      </c>
    </row>
    <row r="427" spans="1:8">
      <c r="C427" s="14" t="s">
        <v>744</v>
      </c>
      <c r="E427">
        <v>8389824</v>
      </c>
      <c r="F427">
        <v>0</v>
      </c>
      <c r="G427">
        <v>7344101.1500000004</v>
      </c>
      <c r="H427">
        <v>0</v>
      </c>
    </row>
    <row r="428" spans="1:8">
      <c r="C428" s="14" t="s">
        <v>72</v>
      </c>
      <c r="D428" s="14" t="s">
        <v>70</v>
      </c>
      <c r="E428">
        <v>175317</v>
      </c>
      <c r="F428">
        <v>0</v>
      </c>
      <c r="G428">
        <v>243852</v>
      </c>
      <c r="H428">
        <v>0</v>
      </c>
    </row>
    <row r="429" spans="1:8">
      <c r="D429" s="14" t="s">
        <v>399</v>
      </c>
      <c r="E429">
        <v>22500</v>
      </c>
      <c r="F429">
        <v>0</v>
      </c>
      <c r="G429">
        <v>15000</v>
      </c>
      <c r="H429">
        <v>0</v>
      </c>
    </row>
    <row r="430" spans="1:8">
      <c r="C430" s="14" t="s">
        <v>745</v>
      </c>
      <c r="E430">
        <v>197817</v>
      </c>
      <c r="F430">
        <v>0</v>
      </c>
      <c r="G430">
        <v>258852</v>
      </c>
      <c r="H430">
        <v>0</v>
      </c>
    </row>
    <row r="431" spans="1:8">
      <c r="B431" s="14" t="s">
        <v>701</v>
      </c>
      <c r="E431">
        <v>8587641</v>
      </c>
      <c r="F431">
        <v>0</v>
      </c>
      <c r="G431">
        <v>7602953.1500000004</v>
      </c>
      <c r="H431">
        <v>0</v>
      </c>
    </row>
    <row r="432" spans="1:8">
      <c r="A432" s="14">
        <v>27</v>
      </c>
      <c r="B432" s="14" t="s">
        <v>51</v>
      </c>
      <c r="C432" s="14" t="s">
        <v>61</v>
      </c>
      <c r="D432" s="14" t="s">
        <v>60</v>
      </c>
      <c r="E432">
        <v>0</v>
      </c>
      <c r="F432">
        <v>0</v>
      </c>
      <c r="G432">
        <v>762</v>
      </c>
      <c r="H432">
        <v>0</v>
      </c>
    </row>
    <row r="433" spans="3:8">
      <c r="C433" s="14" t="s">
        <v>746</v>
      </c>
      <c r="E433">
        <v>0</v>
      </c>
      <c r="F433">
        <v>0</v>
      </c>
      <c r="G433">
        <v>762</v>
      </c>
      <c r="H433">
        <v>0</v>
      </c>
    </row>
    <row r="434" spans="3:8">
      <c r="C434" s="14" t="s">
        <v>63</v>
      </c>
      <c r="D434" s="14" t="s">
        <v>63</v>
      </c>
      <c r="E434">
        <v>0</v>
      </c>
      <c r="F434">
        <v>0</v>
      </c>
      <c r="G434">
        <v>6461</v>
      </c>
      <c r="H434">
        <v>0</v>
      </c>
    </row>
    <row r="435" spans="3:8">
      <c r="C435" s="14" t="s">
        <v>747</v>
      </c>
      <c r="E435">
        <v>0</v>
      </c>
      <c r="F435">
        <v>0</v>
      </c>
      <c r="G435">
        <v>6461</v>
      </c>
      <c r="H435">
        <v>0</v>
      </c>
    </row>
    <row r="436" spans="3:8">
      <c r="C436" s="14" t="s">
        <v>66</v>
      </c>
      <c r="D436" s="14" t="s">
        <v>66</v>
      </c>
      <c r="E436">
        <v>412603.48</v>
      </c>
      <c r="F436">
        <v>0</v>
      </c>
      <c r="G436">
        <v>458584.8</v>
      </c>
      <c r="H436">
        <v>0</v>
      </c>
    </row>
    <row r="437" spans="3:8">
      <c r="D437" s="14" t="s">
        <v>69</v>
      </c>
      <c r="E437">
        <v>0</v>
      </c>
      <c r="F437">
        <v>0</v>
      </c>
      <c r="G437">
        <v>56000</v>
      </c>
      <c r="H437">
        <v>0</v>
      </c>
    </row>
    <row r="438" spans="3:8">
      <c r="C438" s="14" t="s">
        <v>748</v>
      </c>
      <c r="E438">
        <v>412603.48</v>
      </c>
      <c r="F438">
        <v>0</v>
      </c>
      <c r="G438">
        <v>514584.8</v>
      </c>
      <c r="H438">
        <v>0</v>
      </c>
    </row>
    <row r="439" spans="3:8">
      <c r="C439" s="14" t="s">
        <v>68</v>
      </c>
      <c r="D439" s="14" t="s">
        <v>67</v>
      </c>
      <c r="E439">
        <v>0</v>
      </c>
      <c r="F439">
        <v>0</v>
      </c>
      <c r="G439">
        <v>956688</v>
      </c>
      <c r="H439">
        <v>0</v>
      </c>
    </row>
    <row r="440" spans="3:8">
      <c r="D440" s="14" t="s">
        <v>434</v>
      </c>
      <c r="E440">
        <v>0</v>
      </c>
      <c r="F440">
        <v>0</v>
      </c>
      <c r="G440">
        <v>351972</v>
      </c>
      <c r="H440">
        <v>0</v>
      </c>
    </row>
    <row r="441" spans="3:8">
      <c r="C441" s="14" t="s">
        <v>749</v>
      </c>
      <c r="E441">
        <v>0</v>
      </c>
      <c r="F441">
        <v>0</v>
      </c>
      <c r="G441">
        <v>1308660</v>
      </c>
      <c r="H441">
        <v>0</v>
      </c>
    </row>
    <row r="442" spans="3:8">
      <c r="C442" s="14" t="s">
        <v>163</v>
      </c>
      <c r="D442" s="14" t="s">
        <v>162</v>
      </c>
      <c r="E442">
        <v>37500</v>
      </c>
      <c r="F442">
        <v>0</v>
      </c>
      <c r="G442">
        <v>26700</v>
      </c>
      <c r="H442">
        <v>0</v>
      </c>
    </row>
    <row r="443" spans="3:8">
      <c r="C443" s="14" t="s">
        <v>750</v>
      </c>
      <c r="E443">
        <v>37500</v>
      </c>
      <c r="F443">
        <v>0</v>
      </c>
      <c r="G443">
        <v>26700</v>
      </c>
      <c r="H443">
        <v>0</v>
      </c>
    </row>
    <row r="444" spans="3:8">
      <c r="C444" s="14" t="s">
        <v>52</v>
      </c>
      <c r="D444" s="14" t="s">
        <v>53</v>
      </c>
      <c r="E444">
        <v>18000</v>
      </c>
      <c r="F444">
        <v>0</v>
      </c>
      <c r="G444">
        <v>12424</v>
      </c>
      <c r="H444">
        <v>0</v>
      </c>
    </row>
    <row r="445" spans="3:8">
      <c r="D445" s="14" t="s">
        <v>120</v>
      </c>
      <c r="E445">
        <v>64117</v>
      </c>
      <c r="F445">
        <v>0</v>
      </c>
      <c r="G445">
        <v>72553</v>
      </c>
      <c r="H445">
        <v>0</v>
      </c>
    </row>
    <row r="446" spans="3:8">
      <c r="D446" s="14" t="s">
        <v>121</v>
      </c>
      <c r="E446">
        <v>0</v>
      </c>
      <c r="F446">
        <v>0</v>
      </c>
      <c r="G446">
        <v>178418</v>
      </c>
      <c r="H446">
        <v>0</v>
      </c>
    </row>
    <row r="447" spans="3:8">
      <c r="D447" s="14" t="s">
        <v>50</v>
      </c>
      <c r="E447">
        <v>145333</v>
      </c>
      <c r="F447">
        <v>0</v>
      </c>
      <c r="G447">
        <v>148357</v>
      </c>
      <c r="H447">
        <v>0</v>
      </c>
    </row>
    <row r="448" spans="3:8">
      <c r="D448" s="14" t="s">
        <v>202</v>
      </c>
      <c r="E448">
        <v>36000</v>
      </c>
      <c r="F448">
        <v>0</v>
      </c>
      <c r="G448">
        <v>18000</v>
      </c>
      <c r="H448">
        <v>0</v>
      </c>
    </row>
    <row r="449" spans="3:8">
      <c r="D449" s="14" t="s">
        <v>568</v>
      </c>
      <c r="E449">
        <v>85698</v>
      </c>
      <c r="F449">
        <v>0</v>
      </c>
    </row>
    <row r="450" spans="3:8">
      <c r="D450" s="14" t="s">
        <v>448</v>
      </c>
      <c r="E450">
        <v>0</v>
      </c>
      <c r="F450">
        <v>0</v>
      </c>
      <c r="G450">
        <v>345100</v>
      </c>
      <c r="H450">
        <v>0</v>
      </c>
    </row>
    <row r="451" spans="3:8">
      <c r="D451" s="14" t="s">
        <v>576</v>
      </c>
      <c r="E451">
        <v>200</v>
      </c>
      <c r="F451">
        <v>0</v>
      </c>
    </row>
    <row r="452" spans="3:8">
      <c r="D452" s="14" t="s">
        <v>271</v>
      </c>
      <c r="E452">
        <v>0</v>
      </c>
      <c r="F452">
        <v>0</v>
      </c>
      <c r="G452">
        <v>550</v>
      </c>
      <c r="H452">
        <v>0</v>
      </c>
    </row>
    <row r="453" spans="3:8">
      <c r="D453" s="14" t="s">
        <v>303</v>
      </c>
      <c r="E453">
        <v>84492</v>
      </c>
      <c r="F453">
        <v>0</v>
      </c>
      <c r="G453">
        <v>111499</v>
      </c>
      <c r="H453">
        <v>0</v>
      </c>
    </row>
    <row r="454" spans="3:8">
      <c r="D454" s="14" t="s">
        <v>354</v>
      </c>
      <c r="E454">
        <v>296207.59999999998</v>
      </c>
      <c r="F454">
        <v>0</v>
      </c>
      <c r="G454">
        <v>230514</v>
      </c>
      <c r="H454">
        <v>0</v>
      </c>
    </row>
    <row r="455" spans="3:8">
      <c r="D455" s="14" t="s">
        <v>619</v>
      </c>
      <c r="E455">
        <v>217500</v>
      </c>
      <c r="F455">
        <v>0</v>
      </c>
    </row>
    <row r="456" spans="3:8">
      <c r="D456" s="14" t="s">
        <v>361</v>
      </c>
      <c r="E456">
        <v>0</v>
      </c>
      <c r="F456">
        <v>676.59</v>
      </c>
      <c r="G456">
        <v>0</v>
      </c>
      <c r="H456">
        <v>902.81</v>
      </c>
    </row>
    <row r="457" spans="3:8">
      <c r="D457" s="14" t="s">
        <v>626</v>
      </c>
      <c r="E457">
        <v>1400</v>
      </c>
      <c r="F457">
        <v>0</v>
      </c>
    </row>
    <row r="458" spans="3:8">
      <c r="D458" s="14" t="s">
        <v>387</v>
      </c>
      <c r="E458">
        <v>0</v>
      </c>
      <c r="F458">
        <v>0</v>
      </c>
      <c r="G458">
        <v>10980</v>
      </c>
      <c r="H458">
        <v>0</v>
      </c>
    </row>
    <row r="459" spans="3:8">
      <c r="D459" s="14" t="s">
        <v>402</v>
      </c>
      <c r="E459">
        <v>0</v>
      </c>
      <c r="F459">
        <v>5.61</v>
      </c>
      <c r="G459">
        <v>0</v>
      </c>
      <c r="H459">
        <v>28255.9</v>
      </c>
    </row>
    <row r="460" spans="3:8">
      <c r="D460" s="14" t="s">
        <v>515</v>
      </c>
      <c r="E460">
        <v>11164</v>
      </c>
      <c r="F460">
        <v>0</v>
      </c>
      <c r="G460">
        <v>24987</v>
      </c>
      <c r="H460">
        <v>0</v>
      </c>
    </row>
    <row r="461" spans="3:8">
      <c r="C461" s="14" t="s">
        <v>751</v>
      </c>
      <c r="E461">
        <v>960111.6</v>
      </c>
      <c r="F461">
        <v>682.2</v>
      </c>
      <c r="G461">
        <v>1153382</v>
      </c>
      <c r="H461">
        <v>29158.710000000003</v>
      </c>
    </row>
    <row r="462" spans="3:8">
      <c r="C462" s="14" t="s">
        <v>217</v>
      </c>
      <c r="D462" s="14" t="s">
        <v>216</v>
      </c>
      <c r="E462">
        <v>1422847</v>
      </c>
      <c r="F462">
        <v>0</v>
      </c>
      <c r="G462">
        <v>1140533</v>
      </c>
      <c r="H462">
        <v>0</v>
      </c>
    </row>
    <row r="463" spans="3:8">
      <c r="C463" s="14" t="s">
        <v>752</v>
      </c>
      <c r="E463">
        <v>1422847</v>
      </c>
      <c r="F463">
        <v>0</v>
      </c>
      <c r="G463">
        <v>1140533</v>
      </c>
      <c r="H463">
        <v>0</v>
      </c>
    </row>
    <row r="464" spans="3:8">
      <c r="C464" s="14" t="s">
        <v>239</v>
      </c>
      <c r="D464" s="14" t="s">
        <v>238</v>
      </c>
      <c r="E464">
        <v>200000</v>
      </c>
      <c r="F464">
        <v>0</v>
      </c>
      <c r="G464">
        <v>200000</v>
      </c>
      <c r="H464">
        <v>0</v>
      </c>
    </row>
    <row r="465" spans="3:8">
      <c r="C465" s="14" t="s">
        <v>753</v>
      </c>
      <c r="E465">
        <v>200000</v>
      </c>
      <c r="F465">
        <v>0</v>
      </c>
      <c r="G465">
        <v>200000</v>
      </c>
      <c r="H465">
        <v>0</v>
      </c>
    </row>
    <row r="466" spans="3:8">
      <c r="C466" s="14" t="s">
        <v>111</v>
      </c>
      <c r="D466" s="14" t="s">
        <v>110</v>
      </c>
      <c r="E466">
        <v>7000</v>
      </c>
      <c r="F466">
        <v>0</v>
      </c>
      <c r="G466">
        <v>14524</v>
      </c>
      <c r="H466">
        <v>0</v>
      </c>
    </row>
    <row r="467" spans="3:8">
      <c r="D467" s="14" t="s">
        <v>200</v>
      </c>
      <c r="E467">
        <v>0</v>
      </c>
      <c r="F467">
        <v>0</v>
      </c>
      <c r="G467">
        <v>30000</v>
      </c>
      <c r="H467">
        <v>0</v>
      </c>
    </row>
    <row r="468" spans="3:8">
      <c r="D468" s="14" t="s">
        <v>258</v>
      </c>
      <c r="E468">
        <v>124144</v>
      </c>
      <c r="F468">
        <v>0</v>
      </c>
      <c r="G468">
        <v>470250</v>
      </c>
      <c r="H468">
        <v>0</v>
      </c>
    </row>
    <row r="469" spans="3:8">
      <c r="D469" s="14" t="s">
        <v>308</v>
      </c>
      <c r="E469">
        <v>671000</v>
      </c>
      <c r="F469">
        <v>0</v>
      </c>
      <c r="G469">
        <v>1238830</v>
      </c>
      <c r="H469">
        <v>0</v>
      </c>
    </row>
    <row r="470" spans="3:8">
      <c r="D470" s="14" t="s">
        <v>478</v>
      </c>
      <c r="E470">
        <v>6640</v>
      </c>
      <c r="F470">
        <v>0</v>
      </c>
      <c r="G470">
        <v>14890</v>
      </c>
      <c r="H470">
        <v>0</v>
      </c>
    </row>
    <row r="471" spans="3:8">
      <c r="D471" s="14" t="s">
        <v>2383</v>
      </c>
      <c r="E471">
        <v>30000</v>
      </c>
      <c r="F471">
        <v>0</v>
      </c>
    </row>
    <row r="472" spans="3:8">
      <c r="C472" s="14" t="s">
        <v>754</v>
      </c>
      <c r="E472">
        <v>838784</v>
      </c>
      <c r="F472">
        <v>0</v>
      </c>
      <c r="G472">
        <v>1768494</v>
      </c>
      <c r="H472">
        <v>0</v>
      </c>
    </row>
    <row r="473" spans="3:8">
      <c r="C473" s="14" t="s">
        <v>55</v>
      </c>
      <c r="D473" s="14" t="s">
        <v>54</v>
      </c>
      <c r="E473">
        <v>55000</v>
      </c>
      <c r="F473">
        <v>0</v>
      </c>
      <c r="G473">
        <v>55000</v>
      </c>
      <c r="H473">
        <v>0</v>
      </c>
    </row>
    <row r="474" spans="3:8">
      <c r="D474" s="14" t="s">
        <v>56</v>
      </c>
      <c r="E474">
        <v>0</v>
      </c>
      <c r="F474">
        <v>0</v>
      </c>
      <c r="G474">
        <v>48000</v>
      </c>
      <c r="H474">
        <v>0</v>
      </c>
    </row>
    <row r="475" spans="3:8">
      <c r="C475" s="14" t="s">
        <v>755</v>
      </c>
      <c r="E475">
        <v>55000</v>
      </c>
      <c r="F475">
        <v>0</v>
      </c>
      <c r="G475">
        <v>103000</v>
      </c>
      <c r="H475">
        <v>0</v>
      </c>
    </row>
    <row r="476" spans="3:8">
      <c r="C476" s="14" t="s">
        <v>80</v>
      </c>
      <c r="D476" s="14" t="s">
        <v>79</v>
      </c>
      <c r="E476">
        <v>3329</v>
      </c>
      <c r="F476">
        <v>0</v>
      </c>
      <c r="G476">
        <v>3293</v>
      </c>
      <c r="H476">
        <v>0</v>
      </c>
    </row>
    <row r="477" spans="3:8">
      <c r="D477" s="14" t="s">
        <v>275</v>
      </c>
      <c r="E477">
        <v>145550</v>
      </c>
      <c r="F477">
        <v>0</v>
      </c>
      <c r="G477">
        <v>136800</v>
      </c>
      <c r="H477">
        <v>0</v>
      </c>
    </row>
    <row r="478" spans="3:8">
      <c r="D478" s="14" t="s">
        <v>276</v>
      </c>
      <c r="E478">
        <v>106100</v>
      </c>
      <c r="F478">
        <v>0</v>
      </c>
      <c r="G478">
        <v>90200</v>
      </c>
      <c r="H478">
        <v>0</v>
      </c>
    </row>
    <row r="479" spans="3:8">
      <c r="D479" s="14" t="s">
        <v>278</v>
      </c>
      <c r="E479">
        <v>85992.9</v>
      </c>
      <c r="F479">
        <v>0</v>
      </c>
      <c r="G479">
        <v>59557.440000000002</v>
      </c>
      <c r="H479">
        <v>0</v>
      </c>
    </row>
    <row r="480" spans="3:8">
      <c r="D480" s="14" t="s">
        <v>280</v>
      </c>
      <c r="E480">
        <v>50928</v>
      </c>
      <c r="F480">
        <v>0</v>
      </c>
      <c r="G480">
        <v>54503</v>
      </c>
      <c r="H480">
        <v>0</v>
      </c>
    </row>
    <row r="481" spans="3:8">
      <c r="C481" s="14" t="s">
        <v>756</v>
      </c>
      <c r="E481">
        <v>391899.9</v>
      </c>
      <c r="F481">
        <v>0</v>
      </c>
      <c r="G481">
        <v>344353.44</v>
      </c>
      <c r="H481">
        <v>0</v>
      </c>
    </row>
    <row r="482" spans="3:8">
      <c r="C482" s="14" t="s">
        <v>396</v>
      </c>
      <c r="D482" s="14" t="s">
        <v>395</v>
      </c>
      <c r="E482">
        <v>269184.78000000003</v>
      </c>
      <c r="F482">
        <v>0</v>
      </c>
      <c r="G482">
        <v>183140.58</v>
      </c>
      <c r="H482">
        <v>0</v>
      </c>
    </row>
    <row r="483" spans="3:8">
      <c r="C483" s="14" t="s">
        <v>757</v>
      </c>
      <c r="E483">
        <v>269184.78000000003</v>
      </c>
      <c r="F483">
        <v>0</v>
      </c>
      <c r="G483">
        <v>183140.58</v>
      </c>
      <c r="H483">
        <v>0</v>
      </c>
    </row>
    <row r="484" spans="3:8">
      <c r="C484" s="14" t="s">
        <v>87</v>
      </c>
      <c r="D484" s="14" t="s">
        <v>438</v>
      </c>
      <c r="E484">
        <v>0</v>
      </c>
      <c r="F484">
        <v>0</v>
      </c>
      <c r="G484">
        <v>896</v>
      </c>
      <c r="H484">
        <v>0</v>
      </c>
    </row>
    <row r="485" spans="3:8">
      <c r="D485" s="14" t="s">
        <v>173</v>
      </c>
      <c r="E485">
        <v>18701</v>
      </c>
      <c r="F485">
        <v>0</v>
      </c>
      <c r="G485">
        <v>18000</v>
      </c>
      <c r="H485">
        <v>0</v>
      </c>
    </row>
    <row r="486" spans="3:8">
      <c r="D486" s="14" t="s">
        <v>183</v>
      </c>
      <c r="E486">
        <v>50000</v>
      </c>
      <c r="F486">
        <v>0</v>
      </c>
      <c r="G486">
        <v>50000</v>
      </c>
      <c r="H486">
        <v>0</v>
      </c>
    </row>
    <row r="487" spans="3:8">
      <c r="D487" s="14" t="s">
        <v>228</v>
      </c>
      <c r="E487">
        <v>29309</v>
      </c>
      <c r="F487">
        <v>0</v>
      </c>
      <c r="G487">
        <v>28228</v>
      </c>
      <c r="H487">
        <v>0</v>
      </c>
    </row>
    <row r="488" spans="3:8">
      <c r="D488" s="14" t="s">
        <v>229</v>
      </c>
      <c r="E488">
        <v>61959</v>
      </c>
      <c r="F488">
        <v>0</v>
      </c>
      <c r="G488">
        <v>14597</v>
      </c>
      <c r="H488">
        <v>0</v>
      </c>
    </row>
    <row r="489" spans="3:8">
      <c r="D489" s="14" t="s">
        <v>230</v>
      </c>
      <c r="E489">
        <v>668</v>
      </c>
      <c r="F489">
        <v>0</v>
      </c>
      <c r="G489">
        <v>11403</v>
      </c>
      <c r="H489">
        <v>0</v>
      </c>
    </row>
    <row r="490" spans="3:8">
      <c r="D490" s="14" t="s">
        <v>231</v>
      </c>
      <c r="E490">
        <v>0</v>
      </c>
      <c r="F490">
        <v>0</v>
      </c>
      <c r="G490">
        <v>154003</v>
      </c>
      <c r="H490">
        <v>0</v>
      </c>
    </row>
    <row r="491" spans="3:8">
      <c r="D491" s="14" t="s">
        <v>452</v>
      </c>
      <c r="E491">
        <v>0</v>
      </c>
      <c r="F491">
        <v>0</v>
      </c>
      <c r="G491">
        <v>600</v>
      </c>
      <c r="H491">
        <v>0</v>
      </c>
    </row>
    <row r="492" spans="3:8">
      <c r="D492" s="14" t="s">
        <v>232</v>
      </c>
      <c r="E492">
        <v>2700</v>
      </c>
      <c r="F492">
        <v>0</v>
      </c>
      <c r="G492">
        <v>2716</v>
      </c>
      <c r="H492">
        <v>0</v>
      </c>
    </row>
    <row r="493" spans="3:8">
      <c r="D493" s="14" t="s">
        <v>233</v>
      </c>
      <c r="E493">
        <v>35488</v>
      </c>
      <c r="F493">
        <v>0</v>
      </c>
      <c r="G493">
        <v>44863</v>
      </c>
      <c r="H493">
        <v>0</v>
      </c>
    </row>
    <row r="494" spans="3:8">
      <c r="D494" s="14" t="s">
        <v>88</v>
      </c>
      <c r="E494">
        <v>800</v>
      </c>
      <c r="F494">
        <v>0</v>
      </c>
      <c r="G494">
        <v>8887</v>
      </c>
      <c r="H494">
        <v>0</v>
      </c>
    </row>
    <row r="495" spans="3:8">
      <c r="D495" s="14" t="s">
        <v>234</v>
      </c>
      <c r="E495">
        <v>4618</v>
      </c>
      <c r="F495">
        <v>0</v>
      </c>
      <c r="G495">
        <v>6791</v>
      </c>
      <c r="H495">
        <v>0</v>
      </c>
    </row>
    <row r="496" spans="3:8">
      <c r="D496" s="14" t="s">
        <v>253</v>
      </c>
      <c r="E496">
        <v>13776</v>
      </c>
      <c r="F496">
        <v>0</v>
      </c>
      <c r="G496">
        <v>13680</v>
      </c>
      <c r="H496">
        <v>0</v>
      </c>
    </row>
    <row r="497" spans="3:8">
      <c r="D497" s="14" t="s">
        <v>255</v>
      </c>
      <c r="E497">
        <v>279</v>
      </c>
      <c r="F497">
        <v>0</v>
      </c>
      <c r="G497">
        <v>676</v>
      </c>
      <c r="H497">
        <v>0</v>
      </c>
    </row>
    <row r="498" spans="3:8">
      <c r="D498" s="14" t="s">
        <v>298</v>
      </c>
      <c r="E498">
        <v>225</v>
      </c>
      <c r="F498">
        <v>0</v>
      </c>
      <c r="G498">
        <v>50</v>
      </c>
      <c r="H498">
        <v>0</v>
      </c>
    </row>
    <row r="499" spans="3:8">
      <c r="D499" s="14" t="s">
        <v>299</v>
      </c>
      <c r="E499">
        <v>226000</v>
      </c>
      <c r="F499">
        <v>0</v>
      </c>
      <c r="G499">
        <v>46000</v>
      </c>
      <c r="H499">
        <v>0</v>
      </c>
    </row>
    <row r="500" spans="3:8">
      <c r="D500" s="14" t="s">
        <v>300</v>
      </c>
      <c r="E500">
        <v>225</v>
      </c>
      <c r="F500">
        <v>0</v>
      </c>
      <c r="G500">
        <v>50</v>
      </c>
      <c r="H500">
        <v>0</v>
      </c>
    </row>
    <row r="501" spans="3:8">
      <c r="D501" s="14" t="s">
        <v>301</v>
      </c>
      <c r="E501">
        <v>0</v>
      </c>
      <c r="F501">
        <v>0</v>
      </c>
      <c r="G501">
        <v>2360</v>
      </c>
      <c r="H501">
        <v>0</v>
      </c>
    </row>
    <row r="502" spans="3:8">
      <c r="D502" s="14" t="s">
        <v>309</v>
      </c>
      <c r="E502">
        <v>10000</v>
      </c>
      <c r="F502">
        <v>0</v>
      </c>
      <c r="G502">
        <v>0</v>
      </c>
      <c r="H502">
        <v>0</v>
      </c>
    </row>
    <row r="503" spans="3:8">
      <c r="D503" s="14" t="s">
        <v>87</v>
      </c>
      <c r="E503">
        <v>248701</v>
      </c>
      <c r="F503">
        <v>0</v>
      </c>
      <c r="G503">
        <v>241323</v>
      </c>
      <c r="H503">
        <v>0</v>
      </c>
    </row>
    <row r="504" spans="3:8">
      <c r="D504" s="14" t="s">
        <v>359</v>
      </c>
      <c r="E504">
        <v>7900</v>
      </c>
      <c r="F504">
        <v>0</v>
      </c>
      <c r="G504">
        <v>10950</v>
      </c>
      <c r="H504">
        <v>0</v>
      </c>
    </row>
    <row r="505" spans="3:8">
      <c r="D505" s="14" t="s">
        <v>2387</v>
      </c>
      <c r="E505">
        <v>2956</v>
      </c>
      <c r="F505">
        <v>0</v>
      </c>
    </row>
    <row r="506" spans="3:8">
      <c r="C506" s="14" t="s">
        <v>758</v>
      </c>
      <c r="E506">
        <v>714305</v>
      </c>
      <c r="F506">
        <v>0</v>
      </c>
      <c r="G506">
        <v>656073</v>
      </c>
      <c r="H506">
        <v>0</v>
      </c>
    </row>
    <row r="507" spans="3:8">
      <c r="C507" s="14" t="s">
        <v>208</v>
      </c>
      <c r="D507" s="14" t="s">
        <v>207</v>
      </c>
      <c r="E507">
        <v>32000</v>
      </c>
      <c r="F507">
        <v>0</v>
      </c>
      <c r="G507">
        <v>48000</v>
      </c>
      <c r="H507">
        <v>0</v>
      </c>
    </row>
    <row r="508" spans="3:8">
      <c r="D508" s="14" t="s">
        <v>279</v>
      </c>
      <c r="E508">
        <v>610000</v>
      </c>
      <c r="F508">
        <v>0</v>
      </c>
      <c r="G508">
        <v>420000</v>
      </c>
      <c r="H508">
        <v>0</v>
      </c>
    </row>
    <row r="509" spans="3:8">
      <c r="C509" s="14" t="s">
        <v>759</v>
      </c>
      <c r="E509">
        <v>642000</v>
      </c>
      <c r="F509">
        <v>0</v>
      </c>
      <c r="G509">
        <v>468000</v>
      </c>
      <c r="H509">
        <v>0</v>
      </c>
    </row>
    <row r="510" spans="3:8">
      <c r="C510" s="14" t="s">
        <v>290</v>
      </c>
      <c r="D510" s="14" t="s">
        <v>357</v>
      </c>
      <c r="E510">
        <v>268584</v>
      </c>
      <c r="F510">
        <v>0</v>
      </c>
      <c r="G510">
        <v>501594.49</v>
      </c>
      <c r="H510">
        <v>0</v>
      </c>
    </row>
    <row r="511" spans="3:8">
      <c r="C511" s="14" t="s">
        <v>760</v>
      </c>
      <c r="E511">
        <v>268584</v>
      </c>
      <c r="F511">
        <v>0</v>
      </c>
      <c r="G511">
        <v>501594.49</v>
      </c>
      <c r="H511">
        <v>0</v>
      </c>
    </row>
    <row r="512" spans="3:8">
      <c r="C512" s="14" t="s">
        <v>503</v>
      </c>
      <c r="D512" s="14" t="s">
        <v>502</v>
      </c>
      <c r="E512">
        <v>676300</v>
      </c>
      <c r="F512">
        <v>0</v>
      </c>
      <c r="G512">
        <v>677742</v>
      </c>
      <c r="H512">
        <v>0</v>
      </c>
    </row>
    <row r="513" spans="2:8">
      <c r="D513" s="14" t="s">
        <v>504</v>
      </c>
      <c r="E513">
        <v>319936.52</v>
      </c>
      <c r="F513">
        <v>0</v>
      </c>
      <c r="G513">
        <v>295158.12</v>
      </c>
      <c r="H513">
        <v>0</v>
      </c>
    </row>
    <row r="514" spans="2:8">
      <c r="C514" s="14" t="s">
        <v>761</v>
      </c>
      <c r="E514">
        <v>996236.52</v>
      </c>
      <c r="F514">
        <v>0</v>
      </c>
      <c r="G514">
        <v>972900.12</v>
      </c>
      <c r="H514">
        <v>0</v>
      </c>
    </row>
    <row r="515" spans="2:8">
      <c r="C515" s="14" t="s">
        <v>398</v>
      </c>
      <c r="D515" s="14" t="s">
        <v>397</v>
      </c>
      <c r="E515">
        <v>275000</v>
      </c>
      <c r="F515">
        <v>0</v>
      </c>
      <c r="G515">
        <v>275000</v>
      </c>
      <c r="H515">
        <v>0</v>
      </c>
    </row>
    <row r="516" spans="2:8">
      <c r="C516" s="14" t="s">
        <v>762</v>
      </c>
      <c r="E516">
        <v>275000</v>
      </c>
      <c r="F516">
        <v>0</v>
      </c>
      <c r="G516">
        <v>275000</v>
      </c>
      <c r="H516">
        <v>0</v>
      </c>
    </row>
    <row r="517" spans="2:8">
      <c r="C517" s="14" t="s">
        <v>416</v>
      </c>
      <c r="D517" s="14" t="s">
        <v>415</v>
      </c>
      <c r="E517">
        <v>67429</v>
      </c>
      <c r="F517">
        <v>0</v>
      </c>
      <c r="G517">
        <v>70996</v>
      </c>
      <c r="H517">
        <v>0</v>
      </c>
    </row>
    <row r="518" spans="2:8">
      <c r="C518" s="14" t="s">
        <v>763</v>
      </c>
      <c r="E518">
        <v>67429</v>
      </c>
      <c r="F518">
        <v>0</v>
      </c>
      <c r="G518">
        <v>70996</v>
      </c>
      <c r="H518">
        <v>0</v>
      </c>
    </row>
    <row r="519" spans="2:8">
      <c r="C519" s="14" t="s">
        <v>117</v>
      </c>
      <c r="D519" s="14" t="s">
        <v>116</v>
      </c>
      <c r="E519">
        <v>59948</v>
      </c>
      <c r="F519">
        <v>0</v>
      </c>
      <c r="G519">
        <v>29522</v>
      </c>
      <c r="H519">
        <v>0</v>
      </c>
    </row>
    <row r="520" spans="2:8">
      <c r="D520" s="14" t="s">
        <v>118</v>
      </c>
      <c r="E520">
        <v>32087</v>
      </c>
      <c r="F520">
        <v>0</v>
      </c>
      <c r="G520">
        <v>21062</v>
      </c>
      <c r="H520">
        <v>0</v>
      </c>
    </row>
    <row r="521" spans="2:8">
      <c r="D521" s="14" t="s">
        <v>420</v>
      </c>
      <c r="E521">
        <v>447976</v>
      </c>
      <c r="F521">
        <v>0</v>
      </c>
      <c r="G521">
        <v>282444</v>
      </c>
      <c r="H521">
        <v>0</v>
      </c>
    </row>
    <row r="522" spans="2:8">
      <c r="C522" s="14" t="s">
        <v>764</v>
      </c>
      <c r="E522">
        <v>540011</v>
      </c>
      <c r="F522">
        <v>0</v>
      </c>
      <c r="G522">
        <v>333028</v>
      </c>
      <c r="H522">
        <v>0</v>
      </c>
    </row>
    <row r="523" spans="2:8">
      <c r="B523" s="14" t="s">
        <v>702</v>
      </c>
      <c r="E523">
        <v>8091496.2800000012</v>
      </c>
      <c r="F523">
        <v>682.2</v>
      </c>
      <c r="G523">
        <v>10027662.43</v>
      </c>
      <c r="H523">
        <v>29158.710000000003</v>
      </c>
    </row>
    <row r="524" spans="2:8">
      <c r="B524" s="14" t="s">
        <v>77</v>
      </c>
      <c r="C524" s="14" t="s">
        <v>78</v>
      </c>
      <c r="D524" s="14" t="s">
        <v>76</v>
      </c>
      <c r="E524">
        <v>3043560</v>
      </c>
      <c r="F524">
        <v>0</v>
      </c>
      <c r="G524">
        <v>3807870</v>
      </c>
      <c r="H524">
        <v>0</v>
      </c>
    </row>
    <row r="525" spans="2:8">
      <c r="D525" s="14" t="s">
        <v>91</v>
      </c>
      <c r="E525">
        <v>283443</v>
      </c>
      <c r="F525">
        <v>0</v>
      </c>
      <c r="G525">
        <v>264579</v>
      </c>
      <c r="H525">
        <v>0</v>
      </c>
    </row>
    <row r="526" spans="2:8">
      <c r="D526" s="14" t="s">
        <v>92</v>
      </c>
      <c r="E526">
        <v>234338</v>
      </c>
      <c r="F526">
        <v>0</v>
      </c>
      <c r="G526">
        <v>198250</v>
      </c>
      <c r="H526">
        <v>0</v>
      </c>
    </row>
    <row r="527" spans="2:8">
      <c r="D527" s="14" t="s">
        <v>179</v>
      </c>
      <c r="E527">
        <v>75600</v>
      </c>
      <c r="F527">
        <v>0</v>
      </c>
      <c r="G527">
        <v>72000</v>
      </c>
      <c r="H527">
        <v>0</v>
      </c>
    </row>
    <row r="528" spans="2:8">
      <c r="D528" s="14" t="s">
        <v>180</v>
      </c>
      <c r="E528">
        <v>365711.4</v>
      </c>
      <c r="F528">
        <v>0</v>
      </c>
      <c r="G528">
        <v>262736</v>
      </c>
      <c r="H528">
        <v>0</v>
      </c>
    </row>
    <row r="529" spans="3:8">
      <c r="D529" s="14" t="s">
        <v>182</v>
      </c>
      <c r="E529">
        <v>301632</v>
      </c>
      <c r="F529">
        <v>0</v>
      </c>
      <c r="G529">
        <v>240223</v>
      </c>
      <c r="H529">
        <v>0</v>
      </c>
    </row>
    <row r="530" spans="3:8">
      <c r="D530" s="14" t="s">
        <v>184</v>
      </c>
      <c r="E530">
        <v>30878.05</v>
      </c>
      <c r="F530">
        <v>0</v>
      </c>
      <c r="G530">
        <v>0</v>
      </c>
      <c r="H530">
        <v>0</v>
      </c>
    </row>
    <row r="531" spans="3:8">
      <c r="D531" s="14" t="s">
        <v>441</v>
      </c>
      <c r="E531">
        <v>0</v>
      </c>
      <c r="F531">
        <v>0</v>
      </c>
      <c r="G531">
        <v>60</v>
      </c>
      <c r="H531">
        <v>0</v>
      </c>
    </row>
    <row r="532" spans="3:8">
      <c r="D532" s="14" t="s">
        <v>565</v>
      </c>
      <c r="E532">
        <v>500</v>
      </c>
      <c r="F532">
        <v>0</v>
      </c>
    </row>
    <row r="533" spans="3:8">
      <c r="D533" s="14" t="s">
        <v>418</v>
      </c>
      <c r="E533">
        <v>123242</v>
      </c>
      <c r="F533">
        <v>0</v>
      </c>
      <c r="G533">
        <v>103100</v>
      </c>
      <c r="H533">
        <v>0</v>
      </c>
    </row>
    <row r="534" spans="3:8">
      <c r="D534" s="14" t="s">
        <v>508</v>
      </c>
      <c r="E534">
        <v>388251</v>
      </c>
      <c r="F534">
        <v>0</v>
      </c>
      <c r="G534">
        <v>170365</v>
      </c>
      <c r="H534">
        <v>0</v>
      </c>
    </row>
    <row r="535" spans="3:8">
      <c r="C535" s="14" t="s">
        <v>765</v>
      </c>
      <c r="E535">
        <v>4847155.45</v>
      </c>
      <c r="F535">
        <v>0</v>
      </c>
      <c r="G535">
        <v>5119183</v>
      </c>
      <c r="H535">
        <v>0</v>
      </c>
    </row>
    <row r="536" spans="3:8">
      <c r="C536" s="14" t="s">
        <v>186</v>
      </c>
      <c r="D536" s="14" t="s">
        <v>185</v>
      </c>
      <c r="E536">
        <v>2829820</v>
      </c>
      <c r="F536">
        <v>0</v>
      </c>
      <c r="G536">
        <v>3282001</v>
      </c>
      <c r="H536">
        <v>0</v>
      </c>
    </row>
    <row r="537" spans="3:8">
      <c r="C537" s="14" t="s">
        <v>766</v>
      </c>
      <c r="E537">
        <v>2829820</v>
      </c>
      <c r="F537">
        <v>0</v>
      </c>
      <c r="G537">
        <v>3282001</v>
      </c>
      <c r="H537">
        <v>0</v>
      </c>
    </row>
    <row r="538" spans="3:8">
      <c r="C538" s="14" t="s">
        <v>288</v>
      </c>
      <c r="D538" s="14" t="s">
        <v>289</v>
      </c>
      <c r="E538">
        <v>13970</v>
      </c>
      <c r="F538">
        <v>0</v>
      </c>
      <c r="G538">
        <v>3050</v>
      </c>
      <c r="H538">
        <v>0</v>
      </c>
    </row>
    <row r="539" spans="3:8">
      <c r="D539" s="14" t="s">
        <v>288</v>
      </c>
      <c r="E539">
        <v>10675054.880000001</v>
      </c>
      <c r="F539">
        <v>0</v>
      </c>
      <c r="G539">
        <v>9088041.2200000007</v>
      </c>
      <c r="H539">
        <v>0</v>
      </c>
    </row>
    <row r="540" spans="3:8">
      <c r="D540" s="14" t="s">
        <v>338</v>
      </c>
      <c r="E540">
        <v>300</v>
      </c>
      <c r="F540">
        <v>0</v>
      </c>
      <c r="G540">
        <v>0</v>
      </c>
      <c r="H540">
        <v>0</v>
      </c>
    </row>
    <row r="541" spans="3:8">
      <c r="D541" s="14" t="s">
        <v>489</v>
      </c>
      <c r="E541">
        <v>193000</v>
      </c>
      <c r="F541">
        <v>0</v>
      </c>
      <c r="G541">
        <v>150000</v>
      </c>
      <c r="H541">
        <v>0</v>
      </c>
    </row>
    <row r="542" spans="3:8">
      <c r="C542" s="14" t="s">
        <v>767</v>
      </c>
      <c r="E542">
        <v>10882324.880000001</v>
      </c>
      <c r="F542">
        <v>0</v>
      </c>
      <c r="G542">
        <v>9241091.2200000007</v>
      </c>
      <c r="H542">
        <v>0</v>
      </c>
    </row>
    <row r="543" spans="3:8">
      <c r="C543" s="14" t="s">
        <v>107</v>
      </c>
      <c r="D543" s="14" t="s">
        <v>108</v>
      </c>
      <c r="E543">
        <v>39341063.259999998</v>
      </c>
      <c r="F543">
        <v>0</v>
      </c>
      <c r="G543">
        <v>39844498.340000004</v>
      </c>
      <c r="H543">
        <v>0</v>
      </c>
    </row>
    <row r="544" spans="3:8">
      <c r="D544" s="14" t="s">
        <v>181</v>
      </c>
      <c r="E544">
        <v>83424461</v>
      </c>
      <c r="F544">
        <v>0</v>
      </c>
      <c r="G544">
        <v>69613175</v>
      </c>
      <c r="H544">
        <v>0</v>
      </c>
    </row>
    <row r="545" spans="3:8">
      <c r="D545" s="14" t="s">
        <v>287</v>
      </c>
      <c r="E545">
        <v>2569100</v>
      </c>
      <c r="F545">
        <v>0</v>
      </c>
      <c r="G545">
        <v>5609421</v>
      </c>
      <c r="H545">
        <v>0</v>
      </c>
    </row>
    <row r="546" spans="3:8">
      <c r="D546" s="14" t="s">
        <v>465</v>
      </c>
      <c r="E546">
        <v>52365641</v>
      </c>
      <c r="F546">
        <v>0</v>
      </c>
      <c r="G546">
        <v>17458745</v>
      </c>
      <c r="H546">
        <v>0</v>
      </c>
    </row>
    <row r="547" spans="3:8">
      <c r="D547" s="14" t="s">
        <v>609</v>
      </c>
      <c r="E547">
        <v>920985</v>
      </c>
      <c r="F547">
        <v>0</v>
      </c>
    </row>
    <row r="548" spans="3:8">
      <c r="D548" s="14" t="s">
        <v>337</v>
      </c>
      <c r="E548">
        <v>3360110.98</v>
      </c>
      <c r="F548">
        <v>0</v>
      </c>
      <c r="G548">
        <v>5418764</v>
      </c>
      <c r="H548">
        <v>0</v>
      </c>
    </row>
    <row r="549" spans="3:8">
      <c r="D549" s="14" t="s">
        <v>394</v>
      </c>
      <c r="E549">
        <v>2485856</v>
      </c>
      <c r="F549">
        <v>0</v>
      </c>
      <c r="G549">
        <v>3832008</v>
      </c>
      <c r="H549">
        <v>0</v>
      </c>
    </row>
    <row r="550" spans="3:8">
      <c r="C550" s="14" t="s">
        <v>768</v>
      </c>
      <c r="E550">
        <v>184467217.23999998</v>
      </c>
      <c r="F550">
        <v>0</v>
      </c>
      <c r="G550">
        <v>141776611.34</v>
      </c>
      <c r="H550">
        <v>0</v>
      </c>
    </row>
    <row r="551" spans="3:8">
      <c r="C551" s="14" t="s">
        <v>347</v>
      </c>
      <c r="D551" s="14" t="s">
        <v>347</v>
      </c>
      <c r="E551">
        <v>3368785</v>
      </c>
      <c r="F551">
        <v>0</v>
      </c>
      <c r="G551">
        <v>4044390</v>
      </c>
      <c r="H551">
        <v>0</v>
      </c>
    </row>
    <row r="552" spans="3:8">
      <c r="C552" s="14" t="s">
        <v>769</v>
      </c>
      <c r="E552">
        <v>3368785</v>
      </c>
      <c r="F552">
        <v>0</v>
      </c>
      <c r="G552">
        <v>4044390</v>
      </c>
      <c r="H552">
        <v>0</v>
      </c>
    </row>
    <row r="553" spans="3:8">
      <c r="C553" s="14" t="s">
        <v>356</v>
      </c>
      <c r="D553" s="14" t="s">
        <v>355</v>
      </c>
      <c r="E553">
        <v>93430.13</v>
      </c>
      <c r="F553">
        <v>0</v>
      </c>
      <c r="G553">
        <v>49000</v>
      </c>
      <c r="H553">
        <v>0</v>
      </c>
    </row>
    <row r="554" spans="3:8">
      <c r="C554" s="14" t="s">
        <v>770</v>
      </c>
      <c r="E554">
        <v>93430.13</v>
      </c>
      <c r="F554">
        <v>0</v>
      </c>
      <c r="G554">
        <v>49000</v>
      </c>
      <c r="H554">
        <v>0</v>
      </c>
    </row>
    <row r="555" spans="3:8">
      <c r="C555" s="14" t="s">
        <v>90</v>
      </c>
      <c r="D555" s="14" t="s">
        <v>89</v>
      </c>
      <c r="E555">
        <v>492951</v>
      </c>
      <c r="F555">
        <v>0</v>
      </c>
      <c r="G555">
        <v>545036</v>
      </c>
      <c r="H555">
        <v>0</v>
      </c>
    </row>
    <row r="556" spans="3:8">
      <c r="D556" s="14" t="s">
        <v>260</v>
      </c>
      <c r="E556">
        <v>278137</v>
      </c>
      <c r="F556">
        <v>0</v>
      </c>
      <c r="G556">
        <v>153090</v>
      </c>
      <c r="H556">
        <v>0</v>
      </c>
    </row>
    <row r="557" spans="3:8">
      <c r="D557" s="14" t="s">
        <v>261</v>
      </c>
      <c r="E557">
        <v>2223912</v>
      </c>
      <c r="F557">
        <v>0</v>
      </c>
      <c r="G557">
        <v>1590159</v>
      </c>
      <c r="H557">
        <v>0</v>
      </c>
    </row>
    <row r="558" spans="3:8">
      <c r="D558" s="14" t="s">
        <v>262</v>
      </c>
      <c r="E558">
        <v>225741.23</v>
      </c>
      <c r="F558">
        <v>0</v>
      </c>
      <c r="G558">
        <v>308026.14</v>
      </c>
      <c r="H558">
        <v>0</v>
      </c>
    </row>
    <row r="559" spans="3:8">
      <c r="D559" s="14" t="s">
        <v>263</v>
      </c>
      <c r="E559">
        <v>3638432.81</v>
      </c>
      <c r="F559">
        <v>0</v>
      </c>
      <c r="G559">
        <v>3724110.85</v>
      </c>
      <c r="H559">
        <v>0</v>
      </c>
    </row>
    <row r="560" spans="3:8">
      <c r="C560" s="14" t="s">
        <v>771</v>
      </c>
      <c r="E560">
        <v>6859174.04</v>
      </c>
      <c r="F560">
        <v>0</v>
      </c>
      <c r="G560">
        <v>6320421.9900000002</v>
      </c>
      <c r="H560">
        <v>0</v>
      </c>
    </row>
    <row r="561" spans="2:8">
      <c r="C561" s="14" t="s">
        <v>380</v>
      </c>
      <c r="D561" s="14" t="s">
        <v>380</v>
      </c>
      <c r="E561">
        <v>905691</v>
      </c>
      <c r="F561">
        <v>0</v>
      </c>
      <c r="G561">
        <v>783594</v>
      </c>
      <c r="H561">
        <v>0</v>
      </c>
    </row>
    <row r="562" spans="2:8">
      <c r="C562" s="14" t="s">
        <v>772</v>
      </c>
      <c r="E562">
        <v>905691</v>
      </c>
      <c r="F562">
        <v>0</v>
      </c>
      <c r="G562">
        <v>783594</v>
      </c>
      <c r="H562">
        <v>0</v>
      </c>
    </row>
    <row r="563" spans="2:8">
      <c r="C563" s="14" t="s">
        <v>341</v>
      </c>
      <c r="D563" s="14" t="s">
        <v>340</v>
      </c>
      <c r="E563">
        <v>13738207.939999999</v>
      </c>
      <c r="F563">
        <v>0</v>
      </c>
      <c r="G563">
        <v>17306494.390000001</v>
      </c>
      <c r="H563">
        <v>0</v>
      </c>
    </row>
    <row r="564" spans="2:8">
      <c r="C564" s="14" t="s">
        <v>773</v>
      </c>
      <c r="E564">
        <v>13738207.939999999</v>
      </c>
      <c r="F564">
        <v>0</v>
      </c>
      <c r="G564">
        <v>17306494.390000001</v>
      </c>
      <c r="H564">
        <v>0</v>
      </c>
    </row>
    <row r="565" spans="2:8">
      <c r="C565" s="14" t="s">
        <v>510</v>
      </c>
      <c r="D565" s="14" t="s">
        <v>509</v>
      </c>
      <c r="E565">
        <v>4829408</v>
      </c>
      <c r="F565">
        <v>0</v>
      </c>
      <c r="G565">
        <v>6303933</v>
      </c>
      <c r="H565">
        <v>0</v>
      </c>
    </row>
    <row r="566" spans="2:8">
      <c r="C566" s="14" t="s">
        <v>774</v>
      </c>
      <c r="E566">
        <v>4829408</v>
      </c>
      <c r="F566">
        <v>0</v>
      </c>
      <c r="G566">
        <v>6303933</v>
      </c>
      <c r="H566">
        <v>0</v>
      </c>
    </row>
    <row r="567" spans="2:8">
      <c r="B567" s="14" t="s">
        <v>703</v>
      </c>
      <c r="E567">
        <v>232821213.67999998</v>
      </c>
      <c r="F567">
        <v>0</v>
      </c>
      <c r="G567">
        <v>194226719.94</v>
      </c>
      <c r="H567">
        <v>0</v>
      </c>
    </row>
    <row r="568" spans="2:8">
      <c r="B568" s="14" t="s">
        <v>30</v>
      </c>
      <c r="C568" s="14" t="s">
        <v>29</v>
      </c>
      <c r="D568" s="14" t="s">
        <v>29</v>
      </c>
      <c r="E568">
        <v>120274</v>
      </c>
      <c r="F568">
        <v>0</v>
      </c>
      <c r="G568">
        <v>125580</v>
      </c>
      <c r="H568">
        <v>0</v>
      </c>
    </row>
    <row r="569" spans="2:8">
      <c r="C569" s="14" t="s">
        <v>775</v>
      </c>
      <c r="E569">
        <v>120274</v>
      </c>
      <c r="F569">
        <v>0</v>
      </c>
      <c r="G569">
        <v>125580</v>
      </c>
      <c r="H569">
        <v>0</v>
      </c>
    </row>
    <row r="570" spans="2:8">
      <c r="C570" s="14" t="s">
        <v>177</v>
      </c>
      <c r="D570" s="14" t="s">
        <v>176</v>
      </c>
      <c r="E570">
        <v>0</v>
      </c>
      <c r="F570">
        <v>0</v>
      </c>
      <c r="G570">
        <v>1570177</v>
      </c>
      <c r="H570">
        <v>0</v>
      </c>
    </row>
    <row r="571" spans="2:8">
      <c r="C571" s="14" t="s">
        <v>776</v>
      </c>
      <c r="E571">
        <v>0</v>
      </c>
      <c r="F571">
        <v>0</v>
      </c>
      <c r="G571">
        <v>1570177</v>
      </c>
      <c r="H571">
        <v>0</v>
      </c>
    </row>
    <row r="572" spans="2:8">
      <c r="C572" s="14" t="s">
        <v>432</v>
      </c>
      <c r="D572" s="14" t="s">
        <v>432</v>
      </c>
      <c r="E572">
        <v>1585770</v>
      </c>
      <c r="F572">
        <v>0</v>
      </c>
      <c r="G572">
        <v>1397360</v>
      </c>
      <c r="H572">
        <v>0</v>
      </c>
    </row>
    <row r="573" spans="2:8">
      <c r="C573" s="14" t="s">
        <v>777</v>
      </c>
      <c r="E573">
        <v>1585770</v>
      </c>
      <c r="F573">
        <v>0</v>
      </c>
      <c r="G573">
        <v>1397360</v>
      </c>
      <c r="H573">
        <v>0</v>
      </c>
    </row>
    <row r="574" spans="2:8">
      <c r="C574" s="14" t="s">
        <v>428</v>
      </c>
      <c r="D574" s="14" t="s">
        <v>427</v>
      </c>
      <c r="E574">
        <v>67144</v>
      </c>
      <c r="F574">
        <v>0</v>
      </c>
      <c r="G574">
        <v>154050</v>
      </c>
      <c r="H574">
        <v>0</v>
      </c>
    </row>
    <row r="575" spans="2:8">
      <c r="C575" s="14" t="s">
        <v>778</v>
      </c>
      <c r="E575">
        <v>67144</v>
      </c>
      <c r="F575">
        <v>0</v>
      </c>
      <c r="G575">
        <v>154050</v>
      </c>
      <c r="H575">
        <v>0</v>
      </c>
    </row>
    <row r="576" spans="2:8">
      <c r="C576" s="14" t="s">
        <v>215</v>
      </c>
      <c r="D576" s="14" t="s">
        <v>214</v>
      </c>
      <c r="E576">
        <v>250506</v>
      </c>
      <c r="F576">
        <v>0</v>
      </c>
      <c r="G576">
        <v>369150</v>
      </c>
      <c r="H576">
        <v>0</v>
      </c>
    </row>
    <row r="577" spans="1:8">
      <c r="C577" s="14" t="s">
        <v>779</v>
      </c>
      <c r="E577">
        <v>250506</v>
      </c>
      <c r="F577">
        <v>0</v>
      </c>
      <c r="G577">
        <v>369150</v>
      </c>
      <c r="H577">
        <v>0</v>
      </c>
    </row>
    <row r="578" spans="1:8">
      <c r="B578" s="14" t="s">
        <v>704</v>
      </c>
      <c r="E578">
        <v>2023694</v>
      </c>
      <c r="F578">
        <v>0</v>
      </c>
      <c r="G578">
        <v>3616317</v>
      </c>
      <c r="H578">
        <v>0</v>
      </c>
    </row>
    <row r="579" spans="1:8">
      <c r="A579" s="14" t="s">
        <v>674</v>
      </c>
      <c r="B579" s="14" t="s">
        <v>143</v>
      </c>
      <c r="C579" s="14" t="s">
        <v>144</v>
      </c>
      <c r="D579" s="14" t="s">
        <v>142</v>
      </c>
      <c r="E579">
        <v>1857088</v>
      </c>
      <c r="F579">
        <v>0</v>
      </c>
      <c r="G579">
        <v>1850243</v>
      </c>
      <c r="H579">
        <v>0</v>
      </c>
    </row>
    <row r="580" spans="1:8">
      <c r="D580" s="14" t="s">
        <v>145</v>
      </c>
      <c r="E580">
        <v>1989109</v>
      </c>
      <c r="F580">
        <v>0</v>
      </c>
      <c r="G580">
        <v>1908584</v>
      </c>
      <c r="H580">
        <v>0</v>
      </c>
    </row>
    <row r="581" spans="1:8">
      <c r="D581" s="14" t="s">
        <v>146</v>
      </c>
      <c r="E581">
        <v>45170</v>
      </c>
      <c r="F581">
        <v>0</v>
      </c>
      <c r="G581">
        <v>41543</v>
      </c>
      <c r="H581">
        <v>0</v>
      </c>
    </row>
    <row r="582" spans="1:8">
      <c r="D582" s="14" t="s">
        <v>147</v>
      </c>
      <c r="E582">
        <v>56194</v>
      </c>
      <c r="F582">
        <v>0</v>
      </c>
      <c r="G582">
        <v>48716</v>
      </c>
      <c r="H582">
        <v>0</v>
      </c>
    </row>
    <row r="583" spans="1:8">
      <c r="D583" s="14" t="s">
        <v>148</v>
      </c>
      <c r="E583">
        <v>114072</v>
      </c>
      <c r="F583">
        <v>0</v>
      </c>
      <c r="G583">
        <v>113997</v>
      </c>
      <c r="H583">
        <v>0</v>
      </c>
    </row>
    <row r="584" spans="1:8">
      <c r="D584" s="14" t="s">
        <v>149</v>
      </c>
      <c r="E584">
        <v>13650885</v>
      </c>
      <c r="F584">
        <v>0</v>
      </c>
      <c r="G584">
        <v>13628774</v>
      </c>
      <c r="H584">
        <v>0</v>
      </c>
    </row>
    <row r="585" spans="1:8">
      <c r="D585" s="14" t="s">
        <v>150</v>
      </c>
      <c r="E585">
        <v>369149</v>
      </c>
      <c r="F585">
        <v>0</v>
      </c>
      <c r="G585">
        <v>369149</v>
      </c>
      <c r="H585">
        <v>0</v>
      </c>
    </row>
    <row r="586" spans="1:8">
      <c r="C586" s="14" t="s">
        <v>780</v>
      </c>
      <c r="E586">
        <v>18081667</v>
      </c>
      <c r="F586">
        <v>0</v>
      </c>
      <c r="G586">
        <v>17961006</v>
      </c>
      <c r="H586">
        <v>0</v>
      </c>
    </row>
    <row r="587" spans="1:8">
      <c r="B587" s="14" t="s">
        <v>705</v>
      </c>
      <c r="E587">
        <v>18081667</v>
      </c>
      <c r="F587">
        <v>0</v>
      </c>
      <c r="G587">
        <v>17961006</v>
      </c>
      <c r="H587">
        <v>0</v>
      </c>
    </row>
    <row r="588" spans="1:8">
      <c r="B588" s="14" t="s">
        <v>283</v>
      </c>
      <c r="C588" s="14" t="s">
        <v>283</v>
      </c>
      <c r="D588" s="14" t="s">
        <v>282</v>
      </c>
      <c r="E588">
        <v>51593267</v>
      </c>
      <c r="F588">
        <v>0</v>
      </c>
      <c r="G588">
        <v>63133700</v>
      </c>
      <c r="H588">
        <v>0</v>
      </c>
    </row>
    <row r="589" spans="1:8">
      <c r="C589" s="14" t="s">
        <v>706</v>
      </c>
      <c r="E589">
        <v>51593267</v>
      </c>
      <c r="F589">
        <v>0</v>
      </c>
      <c r="G589">
        <v>63133700</v>
      </c>
      <c r="H589">
        <v>0</v>
      </c>
    </row>
    <row r="590" spans="1:8">
      <c r="B590" s="14" t="s">
        <v>706</v>
      </c>
      <c r="E590">
        <v>51593267</v>
      </c>
      <c r="F590">
        <v>0</v>
      </c>
      <c r="G590">
        <v>63133700</v>
      </c>
      <c r="H590">
        <v>0</v>
      </c>
    </row>
    <row r="591" spans="1:8">
      <c r="B591" s="14" t="s">
        <v>57</v>
      </c>
      <c r="C591" s="14" t="s">
        <v>58</v>
      </c>
      <c r="D591" s="14" t="s">
        <v>518</v>
      </c>
      <c r="E591">
        <v>0</v>
      </c>
      <c r="F591">
        <v>150105</v>
      </c>
      <c r="G591">
        <v>0</v>
      </c>
      <c r="H591">
        <v>0</v>
      </c>
    </row>
    <row r="592" spans="1:8">
      <c r="D592" s="14" t="s">
        <v>430</v>
      </c>
      <c r="E592">
        <v>0</v>
      </c>
      <c r="F592">
        <v>3104070</v>
      </c>
      <c r="G592">
        <v>1031300</v>
      </c>
      <c r="H592">
        <v>0</v>
      </c>
    </row>
    <row r="593" spans="2:8">
      <c r="D593" s="14" t="s">
        <v>562</v>
      </c>
      <c r="E593">
        <v>0</v>
      </c>
      <c r="F593">
        <v>37052</v>
      </c>
    </row>
    <row r="594" spans="2:8">
      <c r="D594" s="14" t="s">
        <v>443</v>
      </c>
      <c r="E594">
        <v>0</v>
      </c>
      <c r="F594">
        <v>444140</v>
      </c>
    </row>
    <row r="595" spans="2:8">
      <c r="D595" s="14" t="s">
        <v>447</v>
      </c>
      <c r="E595">
        <v>0</v>
      </c>
      <c r="F595">
        <v>100000</v>
      </c>
    </row>
    <row r="596" spans="2:8">
      <c r="D596" s="14" t="s">
        <v>517</v>
      </c>
      <c r="E596">
        <v>0</v>
      </c>
      <c r="F596">
        <v>481820</v>
      </c>
    </row>
    <row r="597" spans="2:8">
      <c r="D597" s="14" t="s">
        <v>620</v>
      </c>
      <c r="E597">
        <v>0</v>
      </c>
      <c r="F597">
        <v>243000</v>
      </c>
    </row>
    <row r="598" spans="2:8">
      <c r="D598" s="14" t="s">
        <v>651</v>
      </c>
      <c r="E598">
        <v>0</v>
      </c>
      <c r="F598">
        <v>65000</v>
      </c>
    </row>
    <row r="599" spans="2:8">
      <c r="D599" s="14" t="s">
        <v>654</v>
      </c>
      <c r="E599">
        <v>0</v>
      </c>
      <c r="F599">
        <v>12980</v>
      </c>
    </row>
    <row r="600" spans="2:8">
      <c r="D600" s="14" t="s">
        <v>663</v>
      </c>
      <c r="E600">
        <v>0</v>
      </c>
      <c r="F600">
        <v>672000</v>
      </c>
    </row>
    <row r="601" spans="2:8">
      <c r="C601" s="14" t="s">
        <v>781</v>
      </c>
      <c r="E601">
        <v>0</v>
      </c>
      <c r="F601">
        <v>5310167</v>
      </c>
      <c r="G601">
        <v>1031300</v>
      </c>
      <c r="H601">
        <v>0</v>
      </c>
    </row>
    <row r="602" spans="2:8">
      <c r="B602" s="14" t="s">
        <v>695</v>
      </c>
      <c r="E602">
        <v>0</v>
      </c>
      <c r="F602">
        <v>5310167</v>
      </c>
      <c r="G602">
        <v>1031300</v>
      </c>
      <c r="H602">
        <v>0</v>
      </c>
    </row>
    <row r="603" spans="2:8">
      <c r="B603" s="14" t="s">
        <v>85</v>
      </c>
      <c r="C603" s="14" t="s">
        <v>196</v>
      </c>
      <c r="D603" s="14" t="s">
        <v>195</v>
      </c>
      <c r="E603">
        <v>0</v>
      </c>
      <c r="F603">
        <v>1800000</v>
      </c>
      <c r="G603">
        <v>0</v>
      </c>
      <c r="H603">
        <v>1800000</v>
      </c>
    </row>
    <row r="604" spans="2:8">
      <c r="C604" s="14" t="s">
        <v>782</v>
      </c>
      <c r="E604">
        <v>0</v>
      </c>
      <c r="F604">
        <v>1800000</v>
      </c>
      <c r="G604">
        <v>0</v>
      </c>
      <c r="H604">
        <v>1800000</v>
      </c>
    </row>
    <row r="605" spans="2:8">
      <c r="C605" s="14" t="s">
        <v>379</v>
      </c>
      <c r="D605" s="14" t="s">
        <v>378</v>
      </c>
      <c r="E605">
        <v>0</v>
      </c>
      <c r="F605">
        <v>8664946</v>
      </c>
      <c r="G605">
        <v>0</v>
      </c>
      <c r="H605">
        <v>8664946</v>
      </c>
    </row>
    <row r="606" spans="2:8">
      <c r="C606" s="14" t="s">
        <v>783</v>
      </c>
      <c r="E606">
        <v>0</v>
      </c>
      <c r="F606">
        <v>8664946</v>
      </c>
      <c r="G606">
        <v>0</v>
      </c>
      <c r="H606">
        <v>8664946</v>
      </c>
    </row>
    <row r="607" spans="2:8">
      <c r="C607" s="14" t="s">
        <v>311</v>
      </c>
      <c r="D607" s="14" t="s">
        <v>312</v>
      </c>
      <c r="E607">
        <v>0</v>
      </c>
      <c r="F607">
        <v>453421</v>
      </c>
      <c r="G607">
        <v>0</v>
      </c>
      <c r="H607">
        <v>1104075</v>
      </c>
    </row>
    <row r="608" spans="2:8">
      <c r="D608" s="14" t="s">
        <v>310</v>
      </c>
      <c r="E608">
        <v>0</v>
      </c>
      <c r="F608">
        <v>164517556.99000001</v>
      </c>
      <c r="G608">
        <v>0</v>
      </c>
      <c r="H608">
        <v>159588193.24000001</v>
      </c>
    </row>
    <row r="609" spans="1:8">
      <c r="C609" s="14" t="s">
        <v>784</v>
      </c>
      <c r="E609">
        <v>0</v>
      </c>
      <c r="F609">
        <v>164970977.99000001</v>
      </c>
      <c r="G609">
        <v>0</v>
      </c>
      <c r="H609">
        <v>160692268.24000001</v>
      </c>
    </row>
    <row r="610" spans="1:8">
      <c r="B610" s="14" t="s">
        <v>687</v>
      </c>
      <c r="E610">
        <v>0</v>
      </c>
      <c r="F610">
        <v>175435923.99000001</v>
      </c>
      <c r="G610">
        <v>0</v>
      </c>
      <c r="H610">
        <v>171157214.24000001</v>
      </c>
    </row>
    <row r="611" spans="1:8">
      <c r="A611" s="14" t="s">
        <v>665</v>
      </c>
      <c r="E611">
        <v>1883440565.6800003</v>
      </c>
      <c r="F611">
        <v>1883440565.6800001</v>
      </c>
      <c r="G611">
        <v>1826227184.8299997</v>
      </c>
      <c r="H611">
        <v>1825192626.8299999</v>
      </c>
    </row>
  </sheetData>
  <pageMargins left="0.70866141732283472" right="0.70866141732283472" top="0.74803149606299213" bottom="0.74803149606299213" header="0.31496062992125984" footer="0.31496062992125984"/>
  <pageSetup paperSize="9" scale="45" fitToHeight="14" orientation="landscape" horizontalDpi="4294967293"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511"/>
  <sheetViews>
    <sheetView topLeftCell="B1" workbookViewId="0">
      <pane ySplit="3" topLeftCell="A4" activePane="bottomLeft" state="frozen"/>
      <selection activeCell="H46" sqref="H46"/>
      <selection pane="bottomLeft" activeCell="H46" sqref="H46"/>
    </sheetView>
  </sheetViews>
  <sheetFormatPr defaultRowHeight="14.4"/>
  <cols>
    <col min="1" max="1" width="56.6640625" bestFit="1" customWidth="1"/>
    <col min="2" max="2" width="7.88671875" bestFit="1" customWidth="1"/>
    <col min="3" max="3" width="37" bestFit="1" customWidth="1"/>
    <col min="4" max="4" width="41.88671875" bestFit="1" customWidth="1"/>
    <col min="5" max="5" width="16.88671875" bestFit="1" customWidth="1"/>
    <col min="6" max="6" width="12.33203125" bestFit="1" customWidth="1"/>
    <col min="7" max="7" width="19.6640625" bestFit="1" customWidth="1"/>
    <col min="8" max="8" width="16.88671875" bestFit="1" customWidth="1"/>
    <col min="9" max="9" width="11.5546875" bestFit="1" customWidth="1"/>
    <col min="10" max="10" width="19.6640625" bestFit="1" customWidth="1"/>
    <col min="11" max="11" width="16.88671875" bestFit="1" customWidth="1"/>
    <col min="12" max="12" width="13.44140625" bestFit="1" customWidth="1"/>
    <col min="13" max="13" width="22.6640625" bestFit="1" customWidth="1"/>
    <col min="14" max="14" width="16.88671875" bestFit="1" customWidth="1"/>
    <col min="15" max="15" width="13.44140625" bestFit="1" customWidth="1"/>
    <col min="16" max="16" width="22.6640625" bestFit="1" customWidth="1"/>
    <col min="17" max="17" width="16.88671875" bestFit="1" customWidth="1"/>
  </cols>
  <sheetData>
    <row r="1" spans="1:16" s="3" customFormat="1">
      <c r="B1" s="4"/>
      <c r="F1" s="3">
        <f>+SUM(F4:F497)</f>
        <v>0</v>
      </c>
      <c r="I1" s="3">
        <f>+SUM(I4:I497)</f>
        <v>0</v>
      </c>
    </row>
    <row r="2" spans="1:16" s="3" customFormat="1" ht="17.399999999999999">
      <c r="A2" s="10"/>
      <c r="B2" s="11"/>
      <c r="C2" s="10"/>
      <c r="D2" s="10"/>
      <c r="E2" s="2361" t="s">
        <v>520</v>
      </c>
      <c r="F2" s="2361"/>
      <c r="G2" s="2361"/>
      <c r="H2" s="2361"/>
      <c r="I2" s="2361"/>
      <c r="J2" s="2361"/>
      <c r="K2" s="2361" t="s">
        <v>519</v>
      </c>
      <c r="L2" s="2361"/>
      <c r="M2" s="2361"/>
      <c r="N2" s="2361"/>
      <c r="O2" s="2361"/>
      <c r="P2" s="2361"/>
    </row>
    <row r="3" spans="1:16" s="3" customFormat="1">
      <c r="A3" s="1" t="s">
        <v>0</v>
      </c>
      <c r="B3" s="2" t="s">
        <v>1</v>
      </c>
      <c r="C3" s="1" t="s">
        <v>2</v>
      </c>
      <c r="D3" s="1" t="s">
        <v>3</v>
      </c>
      <c r="E3" s="1" t="s">
        <v>4</v>
      </c>
      <c r="F3" s="1" t="s">
        <v>5</v>
      </c>
      <c r="G3" s="1" t="s">
        <v>521</v>
      </c>
      <c r="H3" s="1" t="s">
        <v>7</v>
      </c>
      <c r="I3" s="1" t="s">
        <v>5</v>
      </c>
      <c r="J3" s="1" t="s">
        <v>522</v>
      </c>
      <c r="K3" s="1" t="s">
        <v>4</v>
      </c>
      <c r="L3" s="1" t="s">
        <v>5</v>
      </c>
      <c r="M3" s="1" t="s">
        <v>6</v>
      </c>
      <c r="N3" s="1" t="s">
        <v>7</v>
      </c>
      <c r="O3" s="1" t="s">
        <v>5</v>
      </c>
      <c r="P3" s="1" t="s">
        <v>8</v>
      </c>
    </row>
    <row r="4" spans="1:16" s="3" customFormat="1">
      <c r="A4" s="3" t="s">
        <v>9</v>
      </c>
      <c r="B4" s="4">
        <v>17</v>
      </c>
      <c r="C4" s="3" t="s">
        <v>10</v>
      </c>
      <c r="D4" s="3" t="s">
        <v>11</v>
      </c>
      <c r="E4" s="3">
        <f>+IFERROR(VLOOKUP(A4,TB!$A$12:$C$403,2,),0)</f>
        <v>0</v>
      </c>
      <c r="G4" s="3">
        <f>+E4+F4</f>
        <v>0</v>
      </c>
      <c r="H4" s="3">
        <f>+IFERROR(VLOOKUP(A4,TB!$A$12:$C$403,3,),0)</f>
        <v>73440</v>
      </c>
      <c r="J4" s="3">
        <f>+H4+I4</f>
        <v>73440</v>
      </c>
      <c r="K4" s="3">
        <v>0</v>
      </c>
      <c r="L4" s="3">
        <v>0</v>
      </c>
      <c r="M4" s="3">
        <v>0</v>
      </c>
      <c r="N4" s="3">
        <v>63720</v>
      </c>
      <c r="O4" s="3">
        <v>0</v>
      </c>
      <c r="P4" s="3">
        <v>63720</v>
      </c>
    </row>
    <row r="5" spans="1:16" s="3" customFormat="1">
      <c r="A5" s="3" t="s">
        <v>12</v>
      </c>
      <c r="B5" s="4">
        <v>17</v>
      </c>
      <c r="C5" s="3" t="s">
        <v>10</v>
      </c>
      <c r="D5" s="3" t="s">
        <v>10</v>
      </c>
      <c r="E5" s="3">
        <f>+IFERROR(VLOOKUP(A5,TB!$A$12:$C$403,2,),0)</f>
        <v>0</v>
      </c>
      <c r="G5" s="3">
        <f t="shared" ref="G5:G88" si="0">+E5+F5</f>
        <v>0</v>
      </c>
      <c r="H5" s="3">
        <f>+IFERROR(VLOOKUP(A5,TB!$A$12:$C$403,3,),0)</f>
        <v>0</v>
      </c>
      <c r="J5" s="3">
        <f t="shared" ref="J5:J88" si="1">+H5+I5</f>
        <v>0</v>
      </c>
      <c r="K5" s="3">
        <v>0</v>
      </c>
      <c r="L5" s="3">
        <v>0</v>
      </c>
      <c r="M5" s="3">
        <v>0</v>
      </c>
      <c r="N5" s="3">
        <v>377600</v>
      </c>
      <c r="O5" s="3">
        <v>0</v>
      </c>
      <c r="P5" s="3">
        <v>377600</v>
      </c>
    </row>
    <row r="6" spans="1:16" s="3" customFormat="1">
      <c r="A6" s="3" t="s">
        <v>536</v>
      </c>
      <c r="B6" s="4">
        <v>10</v>
      </c>
      <c r="C6" s="3" t="s">
        <v>34</v>
      </c>
      <c r="D6" s="3" t="s">
        <v>35</v>
      </c>
      <c r="E6" s="3">
        <f>+IFERROR(VLOOKUP(A6,TB!$A$12:$C$403,2,),0)</f>
        <v>0</v>
      </c>
      <c r="G6" s="3">
        <f t="shared" ref="G6:G64" si="2">+E6+F6</f>
        <v>0</v>
      </c>
      <c r="H6" s="3">
        <f>+IFERROR(VLOOKUP(A6,TB!$A$12:$C$403,3,),0)</f>
        <v>0</v>
      </c>
      <c r="J6" s="3">
        <f t="shared" ref="J6:J64" si="3">+H6+I6</f>
        <v>0</v>
      </c>
    </row>
    <row r="7" spans="1:16" s="3" customFormat="1">
      <c r="A7" s="3" t="s">
        <v>537</v>
      </c>
      <c r="B7" s="4">
        <v>17</v>
      </c>
      <c r="C7" s="3" t="s">
        <v>10</v>
      </c>
      <c r="D7" s="3" t="s">
        <v>10</v>
      </c>
      <c r="E7" s="3">
        <f>+IFERROR(VLOOKUP(A7,TB!$A$12:$C$403,2,),0)</f>
        <v>0</v>
      </c>
      <c r="G7" s="3">
        <f t="shared" si="2"/>
        <v>0</v>
      </c>
      <c r="H7" s="3">
        <f>+IFERROR(VLOOKUP(A7,TB!$A$12:$C$403,3,),0)</f>
        <v>2033181</v>
      </c>
      <c r="I7" s="3">
        <f>-BSPL!O479</f>
        <v>-36025.617030000081</v>
      </c>
      <c r="J7" s="3">
        <f t="shared" si="3"/>
        <v>1997155.3829699999</v>
      </c>
    </row>
    <row r="8" spans="1:16" s="3" customFormat="1">
      <c r="A8" s="3" t="s">
        <v>539</v>
      </c>
      <c r="B8" s="4">
        <v>6</v>
      </c>
      <c r="C8" s="3" t="s">
        <v>15</v>
      </c>
      <c r="D8" s="3" t="s">
        <v>16</v>
      </c>
      <c r="E8" s="3">
        <f>+IFERROR(VLOOKUP(A8,TB!$A$12:$C$403,2,),0)</f>
        <v>1442225</v>
      </c>
      <c r="G8" s="3">
        <f t="shared" si="2"/>
        <v>1442225</v>
      </c>
      <c r="H8" s="3">
        <f>+IFERROR(VLOOKUP(A8,TB!$A$12:$C$403,3,),0)</f>
        <v>0</v>
      </c>
      <c r="J8" s="3">
        <f t="shared" si="3"/>
        <v>0</v>
      </c>
    </row>
    <row r="9" spans="1:16" s="3" customFormat="1">
      <c r="A9" s="3" t="s">
        <v>540</v>
      </c>
      <c r="B9" s="4">
        <v>13</v>
      </c>
      <c r="C9" s="3" t="s">
        <v>47</v>
      </c>
      <c r="D9" s="3" t="s">
        <v>671</v>
      </c>
      <c r="E9" s="3">
        <f>+IFERROR(VLOOKUP(A9,TB!$A$12:$C$403,2,),0)</f>
        <v>0</v>
      </c>
      <c r="G9" s="3">
        <f t="shared" si="2"/>
        <v>0</v>
      </c>
      <c r="H9" s="3">
        <f>+IFERROR(VLOOKUP(A9,TB!$A$12:$C$403,3,),0)</f>
        <v>7500000</v>
      </c>
      <c r="J9" s="3">
        <f t="shared" si="3"/>
        <v>7500000</v>
      </c>
    </row>
    <row r="10" spans="1:16" s="3" customFormat="1">
      <c r="A10" s="3" t="s">
        <v>541</v>
      </c>
      <c r="B10" s="4">
        <v>6</v>
      </c>
      <c r="C10" s="3" t="s">
        <v>15</v>
      </c>
      <c r="D10" s="3" t="s">
        <v>16</v>
      </c>
      <c r="E10" s="3">
        <f>+IFERROR(VLOOKUP(A10,TB!$A$12:$C$403,2,),0)</f>
        <v>2282129</v>
      </c>
      <c r="G10" s="3">
        <f t="shared" si="2"/>
        <v>2282129</v>
      </c>
      <c r="H10" s="3">
        <f>+IFERROR(VLOOKUP(A10,TB!$A$12:$C$403,3,),0)</f>
        <v>0</v>
      </c>
      <c r="J10" s="3">
        <f t="shared" si="3"/>
        <v>0</v>
      </c>
    </row>
    <row r="11" spans="1:16" s="3" customFormat="1">
      <c r="A11" s="3" t="s">
        <v>542</v>
      </c>
      <c r="B11" s="4">
        <v>17</v>
      </c>
      <c r="C11" s="3" t="s">
        <v>10</v>
      </c>
      <c r="D11" s="3" t="s">
        <v>10</v>
      </c>
      <c r="E11" s="3">
        <f>+IFERROR(VLOOKUP(A11,TB!$A$12:$C$403,2,),0)</f>
        <v>0</v>
      </c>
      <c r="G11" s="3">
        <f t="shared" si="2"/>
        <v>0</v>
      </c>
      <c r="H11" s="3">
        <f>+IFERROR(VLOOKUP(A11,TB!$A$12:$C$403,3,),0)</f>
        <v>556517</v>
      </c>
      <c r="J11" s="3">
        <f t="shared" si="3"/>
        <v>556517</v>
      </c>
    </row>
    <row r="12" spans="1:16" s="3" customFormat="1">
      <c r="A12" s="3" t="s">
        <v>543</v>
      </c>
      <c r="B12" s="4">
        <v>17</v>
      </c>
      <c r="C12" s="3" t="s">
        <v>10</v>
      </c>
      <c r="D12" s="3" t="s">
        <v>10</v>
      </c>
      <c r="E12" s="3">
        <f>+IFERROR(VLOOKUP(A12,TB!$A$12:$C$403,2,),0)</f>
        <v>0</v>
      </c>
      <c r="G12" s="3">
        <f t="shared" si="2"/>
        <v>0</v>
      </c>
      <c r="H12" s="3">
        <f>+IFERROR(VLOOKUP(A12,TB!$A$12:$C$403,3,),0)</f>
        <v>0</v>
      </c>
      <c r="J12" s="3">
        <f t="shared" si="3"/>
        <v>0</v>
      </c>
    </row>
    <row r="13" spans="1:16" s="3" customFormat="1">
      <c r="A13" s="3" t="s">
        <v>546</v>
      </c>
      <c r="B13" s="4">
        <v>21</v>
      </c>
      <c r="C13" s="3" t="s">
        <v>158</v>
      </c>
      <c r="D13" s="3" t="s">
        <v>159</v>
      </c>
      <c r="E13" s="3">
        <f>+IFERROR(VLOOKUP(A13,TB!$A$12:$C$403,2,),0)</f>
        <v>577328.1</v>
      </c>
      <c r="G13" s="3">
        <f t="shared" si="2"/>
        <v>577328.1</v>
      </c>
      <c r="H13" s="3">
        <f>+IFERROR(VLOOKUP(A13,TB!$A$12:$C$403,3,),0)</f>
        <v>0</v>
      </c>
      <c r="J13" s="3">
        <f t="shared" si="3"/>
        <v>0</v>
      </c>
    </row>
    <row r="14" spans="1:16" s="3" customFormat="1">
      <c r="A14" s="3" t="s">
        <v>548</v>
      </c>
      <c r="B14" s="4">
        <v>19</v>
      </c>
      <c r="C14" s="3" t="s">
        <v>57</v>
      </c>
      <c r="D14" s="3" t="s">
        <v>96</v>
      </c>
      <c r="E14" s="3">
        <f>+IFERROR(VLOOKUP(A14,TB!$A$12:$C$403,2,),0)</f>
        <v>0</v>
      </c>
      <c r="G14" s="3">
        <f t="shared" si="2"/>
        <v>0</v>
      </c>
      <c r="H14" s="3">
        <f>+IFERROR(VLOOKUP(A14,TB!$A$12:$C$403,3,),0)</f>
        <v>3388226.94</v>
      </c>
      <c r="J14" s="3">
        <f t="shared" si="3"/>
        <v>3388226.94</v>
      </c>
    </row>
    <row r="15" spans="1:16" s="3" customFormat="1">
      <c r="A15" s="3" t="s">
        <v>549</v>
      </c>
      <c r="B15" s="4">
        <v>19</v>
      </c>
      <c r="C15" s="3" t="s">
        <v>57</v>
      </c>
      <c r="D15" s="3" t="s">
        <v>96</v>
      </c>
      <c r="E15" s="3">
        <f>+IFERROR(VLOOKUP(A15,TB!$A$12:$C$403,2,),0)</f>
        <v>2263811.12</v>
      </c>
      <c r="G15" s="3">
        <f t="shared" si="2"/>
        <v>2263811.12</v>
      </c>
      <c r="H15" s="3">
        <f>+IFERROR(VLOOKUP(A15,TB!$A$12:$C$403,3,),0)</f>
        <v>0</v>
      </c>
      <c r="J15" s="3">
        <f t="shared" si="3"/>
        <v>0</v>
      </c>
    </row>
    <row r="16" spans="1:16" s="3" customFormat="1">
      <c r="A16" s="3" t="s">
        <v>557</v>
      </c>
      <c r="B16" s="4">
        <v>3</v>
      </c>
      <c r="C16" s="3" t="s">
        <v>130</v>
      </c>
      <c r="D16" s="3" t="s">
        <v>131</v>
      </c>
      <c r="E16" s="3">
        <f>+IFERROR(VLOOKUP(A16,TB!$A$12:$C$403,2,),0)</f>
        <v>900000</v>
      </c>
      <c r="G16" s="3">
        <f t="shared" si="2"/>
        <v>900000</v>
      </c>
      <c r="H16" s="3">
        <f>+IFERROR(VLOOKUP(A16,TB!$A$12:$C$403,3,),0)</f>
        <v>0</v>
      </c>
      <c r="J16" s="3">
        <f t="shared" si="3"/>
        <v>0</v>
      </c>
    </row>
    <row r="17" spans="1:10" s="3" customFormat="1">
      <c r="A17" s="3" t="s">
        <v>561</v>
      </c>
      <c r="B17" s="4">
        <v>17</v>
      </c>
      <c r="C17" s="3" t="s">
        <v>10</v>
      </c>
      <c r="D17" s="3" t="s">
        <v>11</v>
      </c>
      <c r="E17" s="3">
        <f>+IFERROR(VLOOKUP(A17,TB!$A$12:$C$403,2,),0)</f>
        <v>0</v>
      </c>
      <c r="G17" s="3">
        <f t="shared" si="2"/>
        <v>0</v>
      </c>
      <c r="H17" s="3">
        <f>+IFERROR(VLOOKUP(A17,TB!$A$12:$C$403,3,),0)</f>
        <v>62499</v>
      </c>
      <c r="J17" s="3">
        <f t="shared" si="3"/>
        <v>62499</v>
      </c>
    </row>
    <row r="18" spans="1:10" s="3" customFormat="1">
      <c r="A18" s="3" t="s">
        <v>562</v>
      </c>
      <c r="B18" s="4"/>
      <c r="C18" s="3" t="s">
        <v>57</v>
      </c>
      <c r="D18" s="3" t="s">
        <v>58</v>
      </c>
      <c r="E18" s="3">
        <f>+IFERROR(VLOOKUP(A18,TB!$A$12:$C$403,2,),0)</f>
        <v>0</v>
      </c>
      <c r="G18" s="3">
        <f t="shared" si="2"/>
        <v>0</v>
      </c>
      <c r="H18" s="3">
        <f>+IFERROR(VLOOKUP(A18,TB!$A$12:$C$403,3,),0)</f>
        <v>37052</v>
      </c>
      <c r="J18" s="3">
        <f t="shared" si="3"/>
        <v>37052</v>
      </c>
    </row>
    <row r="19" spans="1:10" s="3" customFormat="1">
      <c r="A19" s="3" t="s">
        <v>565</v>
      </c>
      <c r="B19" s="4">
        <v>27</v>
      </c>
      <c r="C19" s="3" t="s">
        <v>77</v>
      </c>
      <c r="D19" s="3" t="s">
        <v>78</v>
      </c>
      <c r="E19" s="3">
        <f>+IFERROR(VLOOKUP(A19,TB!$A$12:$C$403,2,),0)</f>
        <v>500</v>
      </c>
      <c r="G19" s="3">
        <f t="shared" si="2"/>
        <v>500</v>
      </c>
      <c r="H19" s="3">
        <f>+IFERROR(VLOOKUP(A19,TB!$A$12:$C$403,3,),0)</f>
        <v>0</v>
      </c>
      <c r="J19" s="3">
        <f t="shared" si="3"/>
        <v>0</v>
      </c>
    </row>
    <row r="20" spans="1:10" s="3" customFormat="1">
      <c r="A20" s="3" t="s">
        <v>566</v>
      </c>
      <c r="B20" s="4">
        <v>13</v>
      </c>
      <c r="C20" s="3" t="s">
        <v>47</v>
      </c>
      <c r="D20" s="3" t="s">
        <v>48</v>
      </c>
      <c r="E20" s="3">
        <f>+IFERROR(VLOOKUP(A20,TB!$A$12:$C$403,2,),0)</f>
        <v>0</v>
      </c>
      <c r="G20" s="3">
        <f t="shared" si="2"/>
        <v>0</v>
      </c>
      <c r="H20" s="3">
        <f>+IFERROR(VLOOKUP(A20,TB!$A$12:$C$403,3,),0)</f>
        <v>2529925</v>
      </c>
      <c r="J20" s="3">
        <f t="shared" si="3"/>
        <v>2529925</v>
      </c>
    </row>
    <row r="21" spans="1:10" s="3" customFormat="1">
      <c r="A21" s="3" t="s">
        <v>568</v>
      </c>
      <c r="B21" s="4">
        <v>27</v>
      </c>
      <c r="C21" s="3" t="s">
        <v>51</v>
      </c>
      <c r="D21" s="3" t="s">
        <v>52</v>
      </c>
      <c r="E21" s="3">
        <f>+IFERROR(VLOOKUP(A21,TB!$A$12:$C$403,2,),0)</f>
        <v>85698</v>
      </c>
      <c r="G21" s="3">
        <f t="shared" si="2"/>
        <v>85698</v>
      </c>
      <c r="H21" s="3">
        <f>+IFERROR(VLOOKUP(A21,TB!$A$12:$C$403,3,),0)</f>
        <v>0</v>
      </c>
      <c r="J21" s="3">
        <f t="shared" si="3"/>
        <v>0</v>
      </c>
    </row>
    <row r="22" spans="1:10" s="3" customFormat="1">
      <c r="A22" s="3" t="s">
        <v>569</v>
      </c>
      <c r="B22" s="4">
        <v>17</v>
      </c>
      <c r="C22" s="3" t="s">
        <v>10</v>
      </c>
      <c r="D22" s="3" t="s">
        <v>11</v>
      </c>
      <c r="E22" s="3">
        <f>+IFERROR(VLOOKUP(A22,TB!$A$12:$C$403,2,),0)</f>
        <v>0</v>
      </c>
      <c r="G22" s="3">
        <f t="shared" si="2"/>
        <v>0</v>
      </c>
      <c r="H22" s="3">
        <f>+IFERROR(VLOOKUP(A22,TB!$A$12:$C$403,3,),0)</f>
        <v>192781</v>
      </c>
      <c r="J22" s="3">
        <f t="shared" si="3"/>
        <v>192781</v>
      </c>
    </row>
    <row r="23" spans="1:10" s="3" customFormat="1">
      <c r="A23" s="3" t="s">
        <v>571</v>
      </c>
      <c r="B23" s="4">
        <v>19</v>
      </c>
      <c r="C23" s="3" t="s">
        <v>57</v>
      </c>
      <c r="D23" s="3" t="s">
        <v>96</v>
      </c>
      <c r="E23" s="3">
        <f>+IFERROR(VLOOKUP(A23,TB!$A$12:$C$403,2,),0)</f>
        <v>0</v>
      </c>
      <c r="G23" s="3">
        <f t="shared" si="2"/>
        <v>0</v>
      </c>
      <c r="H23" s="3">
        <f>+IFERROR(VLOOKUP(A23,TB!$A$12:$C$403,3,),0)</f>
        <v>1402087</v>
      </c>
      <c r="J23" s="3">
        <f t="shared" si="3"/>
        <v>1402087</v>
      </c>
    </row>
    <row r="24" spans="1:10" s="3" customFormat="1">
      <c r="A24" s="3" t="s">
        <v>572</v>
      </c>
      <c r="B24" s="4">
        <v>19</v>
      </c>
      <c r="C24" s="3" t="s">
        <v>57</v>
      </c>
      <c r="D24" s="3" t="s">
        <v>96</v>
      </c>
      <c r="E24" s="3">
        <f>+IFERROR(VLOOKUP(A24,TB!$A$12:$C$403,2,),0)</f>
        <v>1932482.82</v>
      </c>
      <c r="G24" s="3">
        <f t="shared" si="2"/>
        <v>1932482.82</v>
      </c>
      <c r="H24" s="3">
        <f>+IFERROR(VLOOKUP(A24,TB!$A$12:$C$403,3,),0)</f>
        <v>0</v>
      </c>
      <c r="J24" s="3">
        <f t="shared" si="3"/>
        <v>0</v>
      </c>
    </row>
    <row r="25" spans="1:10" s="3" customFormat="1">
      <c r="A25" s="3" t="s">
        <v>573</v>
      </c>
      <c r="B25" s="4">
        <v>11</v>
      </c>
      <c r="C25" s="3" t="s">
        <v>27</v>
      </c>
      <c r="D25" s="3" t="s">
        <v>28</v>
      </c>
      <c r="E25" s="3">
        <f>+IFERROR(VLOOKUP(A25,TB!$A$12:$C$403,2,),0)</f>
        <v>1891381</v>
      </c>
      <c r="G25" s="3">
        <f t="shared" si="2"/>
        <v>1891381</v>
      </c>
      <c r="H25" s="3">
        <f>+IFERROR(VLOOKUP(A25,TB!$A$12:$C$403,3,),0)</f>
        <v>0</v>
      </c>
      <c r="J25" s="3">
        <f t="shared" si="3"/>
        <v>0</v>
      </c>
    </row>
    <row r="26" spans="1:10" s="3" customFormat="1">
      <c r="A26" s="3" t="s">
        <v>576</v>
      </c>
      <c r="B26" s="4">
        <v>27</v>
      </c>
      <c r="C26" s="3" t="s">
        <v>51</v>
      </c>
      <c r="D26" s="3" t="s">
        <v>52</v>
      </c>
      <c r="E26" s="3">
        <f>+IFERROR(VLOOKUP(A26,TB!$A$12:$C$403,2,),0)</f>
        <v>200</v>
      </c>
      <c r="G26" s="3">
        <f t="shared" si="2"/>
        <v>200</v>
      </c>
      <c r="H26" s="3">
        <f>+IFERROR(VLOOKUP(A26,TB!$A$12:$C$403,3,),0)</f>
        <v>0</v>
      </c>
      <c r="J26" s="3">
        <f t="shared" si="3"/>
        <v>0</v>
      </c>
    </row>
    <row r="27" spans="1:10" s="3" customFormat="1">
      <c r="A27" s="3" t="s">
        <v>580</v>
      </c>
      <c r="B27" s="4">
        <v>9</v>
      </c>
      <c r="C27" s="3" t="s">
        <v>37</v>
      </c>
      <c r="D27" s="3" t="s">
        <v>38</v>
      </c>
      <c r="E27" s="3">
        <f>+IFERROR(VLOOKUP(A27,TB!$A$12:$C$403,2,),0)</f>
        <v>1000</v>
      </c>
      <c r="G27" s="3">
        <f t="shared" si="2"/>
        <v>1000</v>
      </c>
      <c r="H27" s="3">
        <f>+IFERROR(VLOOKUP(A27,TB!$A$12:$C$403,3,),0)</f>
        <v>0</v>
      </c>
      <c r="J27" s="3">
        <f t="shared" si="3"/>
        <v>0</v>
      </c>
    </row>
    <row r="28" spans="1:10" s="3" customFormat="1">
      <c r="A28" s="3" t="s">
        <v>582</v>
      </c>
      <c r="B28" s="4">
        <v>13</v>
      </c>
      <c r="C28" s="3" t="s">
        <v>47</v>
      </c>
      <c r="D28" s="3" t="s">
        <v>48</v>
      </c>
      <c r="E28" s="3">
        <f>+IFERROR(VLOOKUP(A28,TB!$A$12:$C$403,2,),0)</f>
        <v>0</v>
      </c>
      <c r="G28" s="3">
        <f t="shared" si="2"/>
        <v>0</v>
      </c>
      <c r="H28" s="3">
        <f>+IFERROR(VLOOKUP(A28,TB!$A$12:$C$403,3,),0)</f>
        <v>6248304</v>
      </c>
      <c r="J28" s="3">
        <f t="shared" si="3"/>
        <v>6248304</v>
      </c>
    </row>
    <row r="29" spans="1:10" s="3" customFormat="1">
      <c r="A29" s="3" t="s">
        <v>584</v>
      </c>
      <c r="B29" s="4">
        <v>9</v>
      </c>
      <c r="C29" s="3" t="s">
        <v>37</v>
      </c>
      <c r="D29" s="3" t="s">
        <v>38</v>
      </c>
      <c r="E29" s="3">
        <f>+IFERROR(VLOOKUP(A29,TB!$A$12:$C$403,2,),0)</f>
        <v>3000</v>
      </c>
      <c r="G29" s="3">
        <f t="shared" si="2"/>
        <v>3000</v>
      </c>
      <c r="H29" s="3">
        <f>+IFERROR(VLOOKUP(A29,TB!$A$12:$C$403,3,),0)</f>
        <v>0</v>
      </c>
      <c r="J29" s="3">
        <f t="shared" si="3"/>
        <v>0</v>
      </c>
    </row>
    <row r="30" spans="1:10" s="3" customFormat="1">
      <c r="A30" s="3" t="s">
        <v>586</v>
      </c>
      <c r="B30" s="4">
        <v>17</v>
      </c>
      <c r="C30" s="3" t="s">
        <v>10</v>
      </c>
      <c r="D30" s="3" t="s">
        <v>11</v>
      </c>
      <c r="E30" s="3">
        <f>+IFERROR(VLOOKUP(A30,TB!$A$12:$C$403,2,),0)</f>
        <v>0</v>
      </c>
      <c r="G30" s="3">
        <f t="shared" si="2"/>
        <v>0</v>
      </c>
      <c r="H30" s="3">
        <f>+IFERROR(VLOOKUP(A30,TB!$A$12:$C$403,3,),0)</f>
        <v>81650</v>
      </c>
      <c r="J30" s="3">
        <f t="shared" si="3"/>
        <v>81650</v>
      </c>
    </row>
    <row r="31" spans="1:10" s="3" customFormat="1">
      <c r="A31" s="3" t="s">
        <v>592</v>
      </c>
      <c r="B31" s="4">
        <v>13</v>
      </c>
      <c r="C31" s="3" t="s">
        <v>47</v>
      </c>
      <c r="D31" s="3" t="s">
        <v>48</v>
      </c>
      <c r="E31" s="3">
        <f>+IFERROR(VLOOKUP(A31,TB!$A$12:$C$403,2,),0)</f>
        <v>0</v>
      </c>
      <c r="G31" s="3">
        <f t="shared" si="2"/>
        <v>0</v>
      </c>
      <c r="H31" s="3">
        <f>+IFERROR(VLOOKUP(A31,TB!$A$12:$C$403,3,),0)</f>
        <v>4760124</v>
      </c>
      <c r="J31" s="3">
        <f t="shared" si="3"/>
        <v>4760124</v>
      </c>
    </row>
    <row r="32" spans="1:10" s="3" customFormat="1">
      <c r="A32" s="3" t="s">
        <v>593</v>
      </c>
      <c r="B32" s="4">
        <v>17</v>
      </c>
      <c r="C32" s="3" t="s">
        <v>10</v>
      </c>
      <c r="D32" s="3" t="s">
        <v>11</v>
      </c>
      <c r="E32" s="3">
        <f>+IFERROR(VLOOKUP(A32,TB!$A$12:$C$403,2,),0)</f>
        <v>0</v>
      </c>
      <c r="G32" s="3">
        <f t="shared" si="2"/>
        <v>0</v>
      </c>
      <c r="H32" s="3">
        <f>+IFERROR(VLOOKUP(A32,TB!$A$12:$C$403,3,),0)</f>
        <v>84960</v>
      </c>
      <c r="J32" s="3">
        <f t="shared" si="3"/>
        <v>84960</v>
      </c>
    </row>
    <row r="33" spans="1:10" s="3" customFormat="1">
      <c r="A33" s="3" t="s">
        <v>594</v>
      </c>
      <c r="B33" s="4">
        <v>17</v>
      </c>
      <c r="C33" s="3" t="s">
        <v>10</v>
      </c>
      <c r="D33" s="3" t="s">
        <v>11</v>
      </c>
      <c r="E33" s="3">
        <f>+IFERROR(VLOOKUP(A33,TB!$A$12:$C$403,2,),0)</f>
        <v>0</v>
      </c>
      <c r="G33" s="3">
        <f t="shared" si="2"/>
        <v>0</v>
      </c>
      <c r="H33" s="3">
        <f>+IFERROR(VLOOKUP(A33,TB!$A$12:$C$403,3,),0)</f>
        <v>21000</v>
      </c>
      <c r="J33" s="3">
        <f t="shared" si="3"/>
        <v>21000</v>
      </c>
    </row>
    <row r="34" spans="1:10" s="3" customFormat="1">
      <c r="A34" s="3" t="s">
        <v>596</v>
      </c>
      <c r="B34" s="4">
        <v>17</v>
      </c>
      <c r="C34" s="3" t="s">
        <v>10</v>
      </c>
      <c r="D34" s="3" t="s">
        <v>11</v>
      </c>
      <c r="E34" s="3">
        <f>+IFERROR(VLOOKUP(A34,TB!$A$12:$C$403,2,),0)</f>
        <v>0</v>
      </c>
      <c r="G34" s="3">
        <f t="shared" si="2"/>
        <v>0</v>
      </c>
      <c r="H34" s="3">
        <f>+IFERROR(VLOOKUP(A34,TB!$A$12:$C$403,3,),0)</f>
        <v>374208</v>
      </c>
      <c r="J34" s="3">
        <f t="shared" si="3"/>
        <v>374208</v>
      </c>
    </row>
    <row r="35" spans="1:10" s="3" customFormat="1">
      <c r="A35" s="3" t="s">
        <v>598</v>
      </c>
      <c r="B35" s="4">
        <v>19</v>
      </c>
      <c r="C35" s="3" t="s">
        <v>57</v>
      </c>
      <c r="D35" s="3" t="s">
        <v>672</v>
      </c>
      <c r="E35" s="3">
        <f>+IFERROR(VLOOKUP(A35,TB!$A$12:$C$403,2,),0)</f>
        <v>0</v>
      </c>
      <c r="G35" s="3">
        <f t="shared" si="2"/>
        <v>0</v>
      </c>
      <c r="H35" s="3">
        <f>+IFERROR(VLOOKUP(A35,TB!$A$12:$C$403,3,),0)</f>
        <v>2500</v>
      </c>
      <c r="J35" s="3">
        <f t="shared" si="3"/>
        <v>2500</v>
      </c>
    </row>
    <row r="36" spans="1:10" s="3" customFormat="1">
      <c r="A36" s="3" t="s">
        <v>609</v>
      </c>
      <c r="B36" s="4">
        <v>27</v>
      </c>
      <c r="C36" s="3" t="s">
        <v>77</v>
      </c>
      <c r="D36" s="3" t="s">
        <v>107</v>
      </c>
      <c r="E36" s="3">
        <f>+IFERROR(VLOOKUP(A36,TB!$A$12:$C$403,2,),0)</f>
        <v>920985</v>
      </c>
      <c r="G36" s="3">
        <f t="shared" si="2"/>
        <v>920985</v>
      </c>
      <c r="H36" s="3">
        <f>+IFERROR(VLOOKUP(A36,TB!$A$12:$C$403,3,),0)</f>
        <v>0</v>
      </c>
      <c r="J36" s="3">
        <f t="shared" si="3"/>
        <v>0</v>
      </c>
    </row>
    <row r="37" spans="1:10" s="3" customFormat="1">
      <c r="A37" s="3" t="s">
        <v>612</v>
      </c>
      <c r="B37" s="4">
        <v>9</v>
      </c>
      <c r="C37" s="3" t="s">
        <v>37</v>
      </c>
      <c r="D37" s="3" t="s">
        <v>38</v>
      </c>
      <c r="E37" s="3">
        <f>+IFERROR(VLOOKUP(A37,TB!$A$12:$C$403,2,),0)</f>
        <v>7500</v>
      </c>
      <c r="G37" s="3">
        <f t="shared" si="2"/>
        <v>7500</v>
      </c>
      <c r="H37" s="3">
        <f>+IFERROR(VLOOKUP(A37,TB!$A$12:$C$403,3,),0)</f>
        <v>0</v>
      </c>
      <c r="J37" s="3">
        <f t="shared" si="3"/>
        <v>0</v>
      </c>
    </row>
    <row r="38" spans="1:10" s="3" customFormat="1">
      <c r="A38" s="3" t="s">
        <v>613</v>
      </c>
      <c r="B38" s="4">
        <v>17</v>
      </c>
      <c r="C38" s="3" t="s">
        <v>10</v>
      </c>
      <c r="D38" s="3" t="s">
        <v>11</v>
      </c>
      <c r="E38" s="3">
        <f>+IFERROR(VLOOKUP(A38,TB!$A$12:$C$403,2,),0)</f>
        <v>0</v>
      </c>
      <c r="G38" s="3">
        <f t="shared" si="2"/>
        <v>0</v>
      </c>
      <c r="H38" s="3">
        <f>+IFERROR(VLOOKUP(A38,TB!$A$12:$C$403,3,),0)</f>
        <v>192958</v>
      </c>
      <c r="J38" s="3">
        <f t="shared" si="3"/>
        <v>192958</v>
      </c>
    </row>
    <row r="39" spans="1:10" s="3" customFormat="1">
      <c r="A39" s="3" t="s">
        <v>614</v>
      </c>
      <c r="B39" s="4">
        <v>17</v>
      </c>
      <c r="C39" s="3" t="s">
        <v>10</v>
      </c>
      <c r="D39" s="3" t="s">
        <v>10</v>
      </c>
      <c r="E39" s="3">
        <f>+IFERROR(VLOOKUP(A39,TB!$A$12:$C$403,2,),0)</f>
        <v>0</v>
      </c>
      <c r="G39" s="3">
        <f t="shared" si="2"/>
        <v>0</v>
      </c>
      <c r="H39" s="3">
        <f>+IFERROR(VLOOKUP(A39,TB!$A$12:$C$403,3,),0)</f>
        <v>1296380</v>
      </c>
      <c r="J39" s="3">
        <f t="shared" si="3"/>
        <v>1296380</v>
      </c>
    </row>
    <row r="40" spans="1:10" s="3" customFormat="1">
      <c r="A40" s="3" t="s">
        <v>615</v>
      </c>
      <c r="B40" s="4">
        <v>17</v>
      </c>
      <c r="C40" s="3" t="s">
        <v>10</v>
      </c>
      <c r="D40" s="3" t="s">
        <v>10</v>
      </c>
      <c r="E40" s="3">
        <f>+IFERROR(VLOOKUP(A40,TB!$A$12:$C$403,2,),0)</f>
        <v>0</v>
      </c>
      <c r="G40" s="3">
        <f t="shared" si="2"/>
        <v>0</v>
      </c>
      <c r="H40" s="3">
        <f>+IFERROR(VLOOKUP(A40,TB!$A$12:$C$403,3,),0)</f>
        <v>3794288</v>
      </c>
      <c r="I40" s="3">
        <f>-BSPL!O480</f>
        <v>-67231.489200000186</v>
      </c>
      <c r="J40" s="3">
        <f t="shared" si="3"/>
        <v>3727056.5107999998</v>
      </c>
    </row>
    <row r="41" spans="1:10" s="3" customFormat="1">
      <c r="A41" s="3" t="s">
        <v>618</v>
      </c>
      <c r="B41" s="4">
        <v>17</v>
      </c>
      <c r="C41" s="3" t="s">
        <v>10</v>
      </c>
      <c r="D41" s="3" t="s">
        <v>10</v>
      </c>
      <c r="E41" s="3">
        <f>+IFERROR(VLOOKUP(A41,TB!$A$12:$C$403,2,),0)</f>
        <v>0</v>
      </c>
      <c r="G41" s="3">
        <f t="shared" si="2"/>
        <v>0</v>
      </c>
      <c r="H41" s="3">
        <f>+IFERROR(VLOOKUP(A41,TB!$A$12:$C$403,3,),0)</f>
        <v>1115100</v>
      </c>
      <c r="J41" s="3">
        <f t="shared" si="3"/>
        <v>1115100</v>
      </c>
    </row>
    <row r="42" spans="1:10" s="3" customFormat="1">
      <c r="A42" s="3" t="s">
        <v>619</v>
      </c>
      <c r="B42" s="4">
        <v>27</v>
      </c>
      <c r="C42" s="3" t="s">
        <v>51</v>
      </c>
      <c r="D42" s="3" t="s">
        <v>52</v>
      </c>
      <c r="E42" s="3">
        <f>+IFERROR(VLOOKUP(A42,TB!$A$12:$C$403,2,),0)</f>
        <v>217500</v>
      </c>
      <c r="G42" s="3">
        <f t="shared" si="2"/>
        <v>217500</v>
      </c>
      <c r="H42" s="3">
        <f>+IFERROR(VLOOKUP(A42,TB!$A$12:$C$403,3,),0)</f>
        <v>0</v>
      </c>
      <c r="J42" s="3">
        <f t="shared" si="3"/>
        <v>0</v>
      </c>
    </row>
    <row r="43" spans="1:10" s="3" customFormat="1">
      <c r="A43" s="3" t="s">
        <v>620</v>
      </c>
      <c r="B43" s="4"/>
      <c r="C43" s="3" t="s">
        <v>57</v>
      </c>
      <c r="D43" s="3" t="s">
        <v>58</v>
      </c>
      <c r="E43" s="3">
        <f>+IFERROR(VLOOKUP(A43,TB!$A$12:$C$403,2,),0)</f>
        <v>0</v>
      </c>
      <c r="G43" s="3">
        <f t="shared" si="2"/>
        <v>0</v>
      </c>
      <c r="H43" s="3">
        <f>+IFERROR(VLOOKUP(A43,TB!$A$12:$C$403,3,),0)</f>
        <v>243000</v>
      </c>
      <c r="J43" s="3">
        <f t="shared" si="3"/>
        <v>243000</v>
      </c>
    </row>
    <row r="44" spans="1:10" s="3" customFormat="1">
      <c r="A44" s="3" t="s">
        <v>622</v>
      </c>
      <c r="B44" s="4">
        <v>17</v>
      </c>
      <c r="C44" s="3" t="s">
        <v>10</v>
      </c>
      <c r="D44" s="3" t="s">
        <v>11</v>
      </c>
      <c r="E44" s="3">
        <f>+IFERROR(VLOOKUP(A44,TB!$A$12:$C$403,2,),0)</f>
        <v>0</v>
      </c>
      <c r="G44" s="3">
        <f t="shared" si="2"/>
        <v>0</v>
      </c>
      <c r="H44" s="3">
        <f>+IFERROR(VLOOKUP(A44,TB!$A$12:$C$403,3,),0)</f>
        <v>25438</v>
      </c>
      <c r="J44" s="3">
        <f t="shared" si="3"/>
        <v>25438</v>
      </c>
    </row>
    <row r="45" spans="1:10" s="3" customFormat="1">
      <c r="A45" s="3" t="s">
        <v>626</v>
      </c>
      <c r="B45" s="4">
        <v>27</v>
      </c>
      <c r="C45" s="3" t="s">
        <v>51</v>
      </c>
      <c r="D45" s="3" t="s">
        <v>52</v>
      </c>
      <c r="E45" s="3">
        <f>+IFERROR(VLOOKUP(A45,TB!$A$12:$C$403,2,),0)</f>
        <v>1400</v>
      </c>
      <c r="G45" s="3">
        <f t="shared" si="2"/>
        <v>1400</v>
      </c>
      <c r="H45" s="3">
        <f>+IFERROR(VLOOKUP(A45,TB!$A$12:$C$403,3,),0)</f>
        <v>0</v>
      </c>
      <c r="J45" s="3">
        <f t="shared" si="3"/>
        <v>0</v>
      </c>
    </row>
    <row r="46" spans="1:10" s="3" customFormat="1">
      <c r="A46" s="3" t="s">
        <v>629</v>
      </c>
      <c r="B46" s="4">
        <v>13</v>
      </c>
      <c r="C46" s="3" t="s">
        <v>47</v>
      </c>
      <c r="D46" s="3" t="s">
        <v>364</v>
      </c>
      <c r="E46" s="3">
        <f>+IFERROR(VLOOKUP(A46,TB!$A$12:$C$403,2,),0)</f>
        <v>0</v>
      </c>
      <c r="G46" s="3">
        <f t="shared" si="2"/>
        <v>0</v>
      </c>
      <c r="H46" s="3">
        <f>+IFERROR(VLOOKUP(A46,TB!$A$12:$C$403,3,),0)</f>
        <v>10184018</v>
      </c>
      <c r="J46" s="3">
        <f t="shared" si="3"/>
        <v>10184018</v>
      </c>
    </row>
    <row r="47" spans="1:10" s="3" customFormat="1">
      <c r="A47" s="3" t="s">
        <v>630</v>
      </c>
      <c r="B47" s="4">
        <v>19</v>
      </c>
      <c r="C47" s="3" t="s">
        <v>57</v>
      </c>
      <c r="D47" s="3" t="s">
        <v>96</v>
      </c>
      <c r="E47" s="3">
        <f>+IFERROR(VLOOKUP(A47,TB!$A$12:$C$403,2,),0)</f>
        <v>0</v>
      </c>
      <c r="G47" s="3">
        <f t="shared" si="2"/>
        <v>0</v>
      </c>
      <c r="H47" s="3">
        <f>+IFERROR(VLOOKUP(A47,TB!$A$12:$C$403,3,),0)</f>
        <v>3387430.12</v>
      </c>
      <c r="J47" s="3">
        <f t="shared" si="3"/>
        <v>3387430.12</v>
      </c>
    </row>
    <row r="48" spans="1:10" s="3" customFormat="1">
      <c r="A48" s="3" t="s">
        <v>631</v>
      </c>
      <c r="B48" s="4">
        <v>19</v>
      </c>
      <c r="C48" s="3" t="s">
        <v>57</v>
      </c>
      <c r="D48" s="3" t="s">
        <v>96</v>
      </c>
      <c r="E48" s="3">
        <f>+IFERROR(VLOOKUP(A48,TB!$A$12:$C$403,2,),0)</f>
        <v>2263811.12</v>
      </c>
      <c r="G48" s="3">
        <f t="shared" si="2"/>
        <v>2263811.12</v>
      </c>
      <c r="H48" s="3">
        <f>+IFERROR(VLOOKUP(A48,TB!$A$12:$C$403,3,),0)</f>
        <v>0</v>
      </c>
      <c r="J48" s="3">
        <f t="shared" si="3"/>
        <v>0</v>
      </c>
    </row>
    <row r="49" spans="1:10" s="3" customFormat="1">
      <c r="A49" s="3" t="s">
        <v>632</v>
      </c>
      <c r="B49" s="4">
        <v>6</v>
      </c>
      <c r="C49" s="3" t="s">
        <v>15</v>
      </c>
      <c r="D49" s="3" t="s">
        <v>16</v>
      </c>
      <c r="E49" s="3">
        <f>+IFERROR(VLOOKUP(A49,TB!$A$12:$C$403,2,),0)</f>
        <v>196757</v>
      </c>
      <c r="G49" s="3">
        <f t="shared" si="2"/>
        <v>196757</v>
      </c>
      <c r="H49" s="3">
        <f>+IFERROR(VLOOKUP(A49,TB!$A$12:$C$403,3,),0)</f>
        <v>0</v>
      </c>
      <c r="J49" s="3">
        <f t="shared" si="3"/>
        <v>0</v>
      </c>
    </row>
    <row r="50" spans="1:10" s="3" customFormat="1">
      <c r="A50" s="3" t="s">
        <v>636</v>
      </c>
      <c r="B50" s="4">
        <v>17</v>
      </c>
      <c r="C50" s="3" t="s">
        <v>10</v>
      </c>
      <c r="D50" s="3" t="s">
        <v>10</v>
      </c>
      <c r="E50" s="3">
        <f>+IFERROR(VLOOKUP(A50,TB!$A$12:$C$403,2,),0)</f>
        <v>0</v>
      </c>
      <c r="G50" s="3">
        <f t="shared" si="2"/>
        <v>0</v>
      </c>
      <c r="H50" s="3">
        <f>+IFERROR(VLOOKUP(A50,TB!$A$12:$C$403,3,),0)</f>
        <v>101563</v>
      </c>
      <c r="J50" s="3">
        <f t="shared" si="3"/>
        <v>101563</v>
      </c>
    </row>
    <row r="51" spans="1:10" s="3" customFormat="1">
      <c r="A51" s="3" t="s">
        <v>638</v>
      </c>
      <c r="B51" s="4">
        <v>17</v>
      </c>
      <c r="C51" s="3" t="s">
        <v>10</v>
      </c>
      <c r="D51" s="3" t="s">
        <v>11</v>
      </c>
      <c r="E51" s="3">
        <f>+IFERROR(VLOOKUP(A51,TB!$A$12:$C$403,2,),0)</f>
        <v>4200</v>
      </c>
      <c r="G51" s="3">
        <f t="shared" si="2"/>
        <v>4200</v>
      </c>
      <c r="H51" s="3">
        <f>+IFERROR(VLOOKUP(A51,TB!$A$12:$C$403,3,),0)</f>
        <v>0</v>
      </c>
      <c r="J51" s="3">
        <f t="shared" si="3"/>
        <v>0</v>
      </c>
    </row>
    <row r="52" spans="1:10" s="3" customFormat="1">
      <c r="A52" s="3" t="s">
        <v>639</v>
      </c>
      <c r="B52" s="4">
        <v>11</v>
      </c>
      <c r="C52" s="3" t="s">
        <v>27</v>
      </c>
      <c r="D52" s="3" t="s">
        <v>28</v>
      </c>
      <c r="E52" s="3">
        <f>+IFERROR(VLOOKUP(A52,TB!$A$12:$C$403,2,),0)</f>
        <v>0</v>
      </c>
      <c r="G52" s="3">
        <f t="shared" si="2"/>
        <v>0</v>
      </c>
      <c r="H52" s="3">
        <f>+IFERROR(VLOOKUP(A52,TB!$A$12:$C$403,3,),0)</f>
        <v>0</v>
      </c>
      <c r="J52" s="3">
        <f t="shared" si="3"/>
        <v>0</v>
      </c>
    </row>
    <row r="53" spans="1:10" s="3" customFormat="1">
      <c r="A53" s="3" t="s">
        <v>640</v>
      </c>
      <c r="B53" s="4">
        <v>11</v>
      </c>
      <c r="C53" s="3" t="s">
        <v>27</v>
      </c>
      <c r="D53" s="3" t="s">
        <v>28</v>
      </c>
      <c r="E53" s="3">
        <f>+IFERROR(VLOOKUP(A53,TB!$A$12:$C$403,2,),0)</f>
        <v>11611</v>
      </c>
      <c r="G53" s="3">
        <f t="shared" si="2"/>
        <v>11611</v>
      </c>
      <c r="H53" s="3">
        <f>+IFERROR(VLOOKUP(A53,TB!$A$12:$C$403,3,),0)</f>
        <v>0</v>
      </c>
      <c r="J53" s="3">
        <f t="shared" si="3"/>
        <v>0</v>
      </c>
    </row>
    <row r="54" spans="1:10" s="3" customFormat="1">
      <c r="A54" s="3" t="s">
        <v>641</v>
      </c>
      <c r="B54" s="4">
        <v>11</v>
      </c>
      <c r="C54" s="3" t="s">
        <v>27</v>
      </c>
      <c r="D54" s="3" t="s">
        <v>28</v>
      </c>
      <c r="E54" s="3">
        <f>+IFERROR(VLOOKUP(A54,TB!$A$12:$C$403,2,),0)</f>
        <v>15998</v>
      </c>
      <c r="G54" s="3">
        <f t="shared" si="2"/>
        <v>15998</v>
      </c>
      <c r="H54" s="3">
        <f>+IFERROR(VLOOKUP(A54,TB!$A$12:$C$403,3,),0)</f>
        <v>0</v>
      </c>
      <c r="J54" s="3">
        <f t="shared" si="3"/>
        <v>0</v>
      </c>
    </row>
    <row r="55" spans="1:10" s="3" customFormat="1">
      <c r="A55" s="3" t="s">
        <v>642</v>
      </c>
      <c r="B55" s="4">
        <v>11</v>
      </c>
      <c r="C55" s="3" t="s">
        <v>27</v>
      </c>
      <c r="D55" s="3" t="s">
        <v>28</v>
      </c>
      <c r="E55" s="3">
        <f>+IFERROR(VLOOKUP(A55,TB!$A$12:$C$403,2,),0)</f>
        <v>0</v>
      </c>
      <c r="G55" s="3">
        <f t="shared" si="2"/>
        <v>0</v>
      </c>
      <c r="H55" s="3">
        <f>+IFERROR(VLOOKUP(A55,TB!$A$12:$C$403,3,),0)</f>
        <v>0</v>
      </c>
      <c r="J55" s="3">
        <f t="shared" si="3"/>
        <v>0</v>
      </c>
    </row>
    <row r="56" spans="1:10" s="3" customFormat="1">
      <c r="A56" s="3" t="s">
        <v>648</v>
      </c>
      <c r="B56" s="4">
        <v>11</v>
      </c>
      <c r="C56" s="3" t="s">
        <v>27</v>
      </c>
      <c r="D56" s="3" t="s">
        <v>28</v>
      </c>
      <c r="E56" s="3">
        <f>+IFERROR(VLOOKUP(A56,TB!$A$12:$C$403,2,),0)</f>
        <v>933217.36</v>
      </c>
      <c r="G56" s="3">
        <f t="shared" si="2"/>
        <v>933217.36</v>
      </c>
      <c r="H56" s="3">
        <f>+IFERROR(VLOOKUP(A56,TB!$A$12:$C$403,3,),0)</f>
        <v>0</v>
      </c>
      <c r="J56" s="3">
        <f t="shared" si="3"/>
        <v>0</v>
      </c>
    </row>
    <row r="57" spans="1:10" s="3" customFormat="1">
      <c r="A57" s="3" t="s">
        <v>651</v>
      </c>
      <c r="B57" s="4"/>
      <c r="C57" s="3" t="s">
        <v>57</v>
      </c>
      <c r="D57" s="3" t="s">
        <v>58</v>
      </c>
      <c r="E57" s="3">
        <f>+IFERROR(VLOOKUP(A57,TB!$A$12:$C$403,2,),0)</f>
        <v>0</v>
      </c>
      <c r="G57" s="3">
        <f t="shared" si="2"/>
        <v>0</v>
      </c>
      <c r="H57" s="3">
        <f>+IFERROR(VLOOKUP(A57,TB!$A$12:$C$403,3,),0)</f>
        <v>65000</v>
      </c>
      <c r="J57" s="3">
        <f t="shared" si="3"/>
        <v>65000</v>
      </c>
    </row>
    <row r="58" spans="1:10" s="3" customFormat="1">
      <c r="A58" s="3" t="s">
        <v>652</v>
      </c>
      <c r="B58" s="4">
        <v>4</v>
      </c>
      <c r="C58" s="3" t="s">
        <v>24</v>
      </c>
      <c r="D58" s="3" t="s">
        <v>25</v>
      </c>
      <c r="E58" s="3">
        <f>+IFERROR(VLOOKUP(A58,TB!$A$12:$C$403,2,),0)</f>
        <v>204000</v>
      </c>
      <c r="G58" s="3">
        <f t="shared" si="2"/>
        <v>204000</v>
      </c>
      <c r="H58" s="3">
        <f>+IFERROR(VLOOKUP(A58,TB!$A$12:$C$403,3,),0)</f>
        <v>0</v>
      </c>
      <c r="J58" s="3">
        <f t="shared" si="3"/>
        <v>0</v>
      </c>
    </row>
    <row r="59" spans="1:10" s="3" customFormat="1">
      <c r="A59" s="3" t="s">
        <v>654</v>
      </c>
      <c r="B59" s="4"/>
      <c r="C59" s="3" t="s">
        <v>57</v>
      </c>
      <c r="D59" s="3" t="s">
        <v>58</v>
      </c>
      <c r="E59" s="3">
        <f>+IFERROR(VLOOKUP(A59,TB!$A$12:$C$403,2,),0)</f>
        <v>0</v>
      </c>
      <c r="G59" s="3">
        <f t="shared" si="2"/>
        <v>0</v>
      </c>
      <c r="H59" s="3">
        <f>+IFERROR(VLOOKUP(A59,TB!$A$12:$C$403,3,),0)</f>
        <v>12980</v>
      </c>
      <c r="J59" s="3">
        <f t="shared" si="3"/>
        <v>12980</v>
      </c>
    </row>
    <row r="60" spans="1:10" s="3" customFormat="1">
      <c r="A60" s="3" t="s">
        <v>658</v>
      </c>
      <c r="B60" s="4">
        <v>10</v>
      </c>
      <c r="C60" s="3" t="s">
        <v>34</v>
      </c>
      <c r="D60" s="3" t="s">
        <v>35</v>
      </c>
      <c r="E60" s="3">
        <f>+IFERROR(VLOOKUP(A60,TB!$A$12:$C$403,2,),0)</f>
        <v>175000</v>
      </c>
      <c r="G60" s="3">
        <f t="shared" si="2"/>
        <v>175000</v>
      </c>
      <c r="H60" s="3">
        <f>+IFERROR(VLOOKUP(A60,TB!$A$12:$C$403,3,),0)</f>
        <v>0</v>
      </c>
      <c r="J60" s="3">
        <f t="shared" si="3"/>
        <v>0</v>
      </c>
    </row>
    <row r="61" spans="1:10" s="3" customFormat="1">
      <c r="A61" s="3" t="s">
        <v>659</v>
      </c>
      <c r="B61" s="4">
        <v>17</v>
      </c>
      <c r="C61" s="3" t="s">
        <v>10</v>
      </c>
      <c r="D61" s="3" t="s">
        <v>10</v>
      </c>
      <c r="E61" s="3">
        <f>+IFERROR(VLOOKUP(A61,TB!$A$12:$C$403,2,),0)</f>
        <v>0</v>
      </c>
      <c r="G61" s="3">
        <f t="shared" si="2"/>
        <v>0</v>
      </c>
      <c r="H61" s="3">
        <f>+IFERROR(VLOOKUP(A61,TB!$A$12:$C$403,3,),0)</f>
        <v>295397</v>
      </c>
      <c r="J61" s="3">
        <f t="shared" si="3"/>
        <v>295397</v>
      </c>
    </row>
    <row r="62" spans="1:10" s="3" customFormat="1">
      <c r="A62" s="3" t="s">
        <v>660</v>
      </c>
      <c r="B62" s="4">
        <v>13</v>
      </c>
      <c r="C62" s="3" t="s">
        <v>47</v>
      </c>
      <c r="D62" s="3" t="s">
        <v>671</v>
      </c>
      <c r="E62" s="3">
        <f>+IFERROR(VLOOKUP(A62,TB!$A$12:$C$403,2,),0)</f>
        <v>0</v>
      </c>
      <c r="G62" s="3">
        <f t="shared" si="2"/>
        <v>0</v>
      </c>
      <c r="H62" s="3">
        <f>+IFERROR(VLOOKUP(A62,TB!$A$12:$C$403,3,),0)</f>
        <v>7500000</v>
      </c>
      <c r="J62" s="3">
        <f t="shared" si="3"/>
        <v>7500000</v>
      </c>
    </row>
    <row r="63" spans="1:10" s="3" customFormat="1">
      <c r="A63" s="3" t="s">
        <v>662</v>
      </c>
      <c r="B63" s="4">
        <v>17</v>
      </c>
      <c r="C63" s="3" t="s">
        <v>10</v>
      </c>
      <c r="D63" s="3" t="s">
        <v>10</v>
      </c>
      <c r="E63" s="3">
        <f>+IFERROR(VLOOKUP(A63,TB!$A$12:$C$403,2,),0)</f>
        <v>0</v>
      </c>
      <c r="G63" s="3">
        <f t="shared" si="2"/>
        <v>0</v>
      </c>
      <c r="H63" s="3">
        <f>+IFERROR(VLOOKUP(A63,TB!$A$12:$C$403,3,),0)</f>
        <v>0</v>
      </c>
      <c r="J63" s="3">
        <f t="shared" si="3"/>
        <v>0</v>
      </c>
    </row>
    <row r="64" spans="1:10" s="3" customFormat="1">
      <c r="A64" s="1018" t="s">
        <v>663</v>
      </c>
      <c r="B64" s="4"/>
      <c r="C64" s="3" t="s">
        <v>57</v>
      </c>
      <c r="D64" s="3" t="s">
        <v>58</v>
      </c>
      <c r="E64" s="3">
        <f>+IFERROR(VLOOKUP(A64,TB!$A$12:$C$403,2,),0)</f>
        <v>0</v>
      </c>
      <c r="G64" s="3">
        <f t="shared" si="2"/>
        <v>0</v>
      </c>
      <c r="H64" s="3">
        <f>+IFERROR(VLOOKUP(A64,TB!$A$12:$C$403,3,),0)</f>
        <v>672000</v>
      </c>
      <c r="J64" s="3">
        <f t="shared" si="3"/>
        <v>672000</v>
      </c>
    </row>
    <row r="65" spans="1:16" s="3" customFormat="1">
      <c r="A65" s="3" t="s">
        <v>13</v>
      </c>
      <c r="B65" s="4">
        <v>17</v>
      </c>
      <c r="C65" s="3" t="s">
        <v>10</v>
      </c>
      <c r="D65" s="3" t="s">
        <v>11</v>
      </c>
      <c r="E65" s="3">
        <f>+IFERROR(VLOOKUP(A65,TB!$A$12:$C$403,2,),0)</f>
        <v>0</v>
      </c>
      <c r="G65" s="3">
        <f t="shared" si="0"/>
        <v>0</v>
      </c>
      <c r="H65" s="3">
        <f>+IFERROR(VLOOKUP(A65,TB!$A$12:$C$403,3,),0)</f>
        <v>0</v>
      </c>
      <c r="J65" s="3">
        <f t="shared" si="1"/>
        <v>0</v>
      </c>
      <c r="K65" s="3">
        <v>0</v>
      </c>
      <c r="L65" s="3">
        <v>0</v>
      </c>
      <c r="M65" s="3">
        <v>0</v>
      </c>
      <c r="N65" s="3">
        <v>14868</v>
      </c>
      <c r="O65" s="3">
        <v>0</v>
      </c>
      <c r="P65" s="3">
        <v>14868</v>
      </c>
    </row>
    <row r="66" spans="1:16" s="3" customFormat="1">
      <c r="A66" s="3" t="s">
        <v>14</v>
      </c>
      <c r="B66" s="4">
        <v>6</v>
      </c>
      <c r="C66" s="3" t="s">
        <v>15</v>
      </c>
      <c r="D66" s="3" t="s">
        <v>16</v>
      </c>
      <c r="E66" s="3">
        <f>+IFERROR(VLOOKUP(A66,TB!$A$12:$C$403,2,),0)</f>
        <v>152951</v>
      </c>
      <c r="G66" s="3">
        <f t="shared" si="0"/>
        <v>152951</v>
      </c>
      <c r="H66" s="3">
        <f>+IFERROR(VLOOKUP(A66,TB!$A$12:$C$403,3,),0)</f>
        <v>0</v>
      </c>
      <c r="J66" s="3">
        <f t="shared" si="1"/>
        <v>0</v>
      </c>
      <c r="K66" s="3">
        <v>1958488</v>
      </c>
      <c r="L66" s="3">
        <v>0</v>
      </c>
      <c r="M66" s="3">
        <v>1958488</v>
      </c>
      <c r="N66" s="3">
        <v>0</v>
      </c>
      <c r="O66" s="3">
        <v>0</v>
      </c>
      <c r="P66" s="3">
        <v>0</v>
      </c>
    </row>
    <row r="67" spans="1:16" s="3" customFormat="1">
      <c r="A67" s="3" t="s">
        <v>17</v>
      </c>
      <c r="B67" s="4">
        <v>6</v>
      </c>
      <c r="C67" s="3" t="s">
        <v>15</v>
      </c>
      <c r="D67" s="3" t="s">
        <v>16</v>
      </c>
      <c r="E67" s="3">
        <f>+IFERROR(VLOOKUP(A67,TB!$A$12:$C$403,2,),0)</f>
        <v>13460226</v>
      </c>
      <c r="G67" s="3">
        <f t="shared" si="0"/>
        <v>13460226</v>
      </c>
      <c r="H67" s="3">
        <f>+IFERROR(VLOOKUP(A67,TB!$A$12:$C$403,3,),0)</f>
        <v>0</v>
      </c>
      <c r="J67" s="3">
        <f t="shared" si="1"/>
        <v>0</v>
      </c>
      <c r="K67" s="3">
        <v>10176297</v>
      </c>
      <c r="L67" s="3">
        <v>0</v>
      </c>
      <c r="M67" s="3">
        <v>10176297</v>
      </c>
      <c r="N67" s="3">
        <v>0</v>
      </c>
      <c r="O67" s="3">
        <v>0</v>
      </c>
      <c r="P67" s="3">
        <v>0</v>
      </c>
    </row>
    <row r="68" spans="1:16" s="3" customFormat="1">
      <c r="A68" s="3" t="s">
        <v>18</v>
      </c>
      <c r="B68" s="4">
        <v>17</v>
      </c>
      <c r="C68" s="3" t="s">
        <v>10</v>
      </c>
      <c r="D68" s="3" t="s">
        <v>10</v>
      </c>
      <c r="E68" s="3">
        <f>+IFERROR(VLOOKUP(A68,TB!$A$12:$C$403,2,),0)</f>
        <v>0</v>
      </c>
      <c r="G68" s="3">
        <f t="shared" si="0"/>
        <v>0</v>
      </c>
      <c r="H68" s="3">
        <f>+IFERROR(VLOOKUP(A68,TB!$A$12:$C$403,3,),0)</f>
        <v>0</v>
      </c>
      <c r="J68" s="3">
        <f t="shared" si="1"/>
        <v>0</v>
      </c>
      <c r="K68" s="3">
        <v>0</v>
      </c>
      <c r="L68" s="3">
        <v>0</v>
      </c>
      <c r="M68" s="3">
        <v>0</v>
      </c>
      <c r="N68" s="3">
        <v>85432</v>
      </c>
      <c r="O68" s="3">
        <v>0</v>
      </c>
      <c r="P68" s="3">
        <v>85432</v>
      </c>
    </row>
    <row r="69" spans="1:16" s="3" customFormat="1">
      <c r="A69" s="3" t="s">
        <v>19</v>
      </c>
      <c r="B69" s="4">
        <v>17</v>
      </c>
      <c r="C69" s="3" t="s">
        <v>10</v>
      </c>
      <c r="D69" s="3" t="s">
        <v>10</v>
      </c>
      <c r="E69" s="3">
        <f>+IFERROR(VLOOKUP(A69,TB!$A$12:$C$403,2,),0)</f>
        <v>0</v>
      </c>
      <c r="G69" s="3">
        <f t="shared" si="0"/>
        <v>0</v>
      </c>
      <c r="H69" s="3">
        <f>+IFERROR(VLOOKUP(A69,TB!$A$12:$C$403,3,),0)</f>
        <v>0</v>
      </c>
      <c r="J69" s="3">
        <f t="shared" si="1"/>
        <v>0</v>
      </c>
      <c r="K69" s="3">
        <v>0</v>
      </c>
      <c r="L69" s="3">
        <v>0</v>
      </c>
      <c r="M69" s="3">
        <v>0</v>
      </c>
      <c r="N69" s="3">
        <v>2844884</v>
      </c>
      <c r="O69" s="3">
        <v>0</v>
      </c>
      <c r="P69" s="3">
        <v>2844884</v>
      </c>
    </row>
    <row r="70" spans="1:16" s="3" customFormat="1">
      <c r="A70" s="3" t="s">
        <v>20</v>
      </c>
      <c r="B70" s="4">
        <v>17</v>
      </c>
      <c r="C70" s="3" t="s">
        <v>10</v>
      </c>
      <c r="D70" s="3" t="s">
        <v>10</v>
      </c>
      <c r="E70" s="3">
        <f>+IFERROR(VLOOKUP(A70,TB!$A$12:$C$403,2,),0)</f>
        <v>0</v>
      </c>
      <c r="G70" s="3">
        <f t="shared" si="0"/>
        <v>0</v>
      </c>
      <c r="H70" s="3">
        <f>+IFERROR(VLOOKUP(A70,TB!$A$12:$C$403,3,),0)</f>
        <v>146832</v>
      </c>
      <c r="J70" s="3">
        <f t="shared" si="1"/>
        <v>146832</v>
      </c>
      <c r="K70" s="3">
        <v>0</v>
      </c>
      <c r="L70" s="3">
        <v>0</v>
      </c>
      <c r="M70" s="3">
        <v>0</v>
      </c>
      <c r="N70" s="3">
        <v>782311</v>
      </c>
      <c r="O70" s="3">
        <v>0</v>
      </c>
      <c r="P70" s="3">
        <v>782311</v>
      </c>
    </row>
    <row r="71" spans="1:16" s="3" customFormat="1">
      <c r="A71" s="3" t="s">
        <v>21</v>
      </c>
      <c r="B71" s="4">
        <v>17</v>
      </c>
      <c r="C71" s="3" t="s">
        <v>10</v>
      </c>
      <c r="D71" s="3" t="s">
        <v>10</v>
      </c>
      <c r="E71" s="3">
        <f>+IFERROR(VLOOKUP(A71,TB!$A$12:$C$403,2,),0)</f>
        <v>0</v>
      </c>
      <c r="G71" s="3">
        <f t="shared" si="0"/>
        <v>0</v>
      </c>
      <c r="H71" s="3">
        <f>+IFERROR(VLOOKUP(A71,TB!$A$12:$C$403,3,),0)</f>
        <v>3597683</v>
      </c>
      <c r="J71" s="3">
        <f t="shared" si="1"/>
        <v>3597683</v>
      </c>
      <c r="K71" s="3">
        <v>0</v>
      </c>
      <c r="L71" s="3">
        <v>0</v>
      </c>
      <c r="M71" s="3">
        <v>0</v>
      </c>
      <c r="N71" s="3">
        <v>4974989</v>
      </c>
      <c r="O71" s="3">
        <v>0</v>
      </c>
      <c r="P71" s="3">
        <v>4974989</v>
      </c>
    </row>
    <row r="72" spans="1:16" s="3" customFormat="1">
      <c r="A72" s="3" t="s">
        <v>22</v>
      </c>
      <c r="B72" s="4">
        <v>17</v>
      </c>
      <c r="C72" s="3" t="s">
        <v>10</v>
      </c>
      <c r="D72" s="3" t="s">
        <v>11</v>
      </c>
      <c r="E72" s="3">
        <f>+IFERROR(VLOOKUP(A72,TB!$A$12:$C$403,2,),0)</f>
        <v>0</v>
      </c>
      <c r="G72" s="3">
        <f t="shared" si="0"/>
        <v>0</v>
      </c>
      <c r="H72" s="3">
        <f>+IFERROR(VLOOKUP(A72,TB!$A$12:$C$403,3,),0)</f>
        <v>380240</v>
      </c>
      <c r="J72" s="3">
        <f t="shared" si="1"/>
        <v>380240</v>
      </c>
      <c r="K72" s="3">
        <v>0</v>
      </c>
      <c r="L72" s="3">
        <v>0</v>
      </c>
      <c r="M72" s="3">
        <v>0</v>
      </c>
      <c r="N72" s="3">
        <v>0</v>
      </c>
      <c r="O72" s="3">
        <v>0</v>
      </c>
      <c r="P72" s="3">
        <v>0</v>
      </c>
    </row>
    <row r="73" spans="1:16" s="3" customFormat="1">
      <c r="A73" s="3" t="s">
        <v>23</v>
      </c>
      <c r="B73" s="4">
        <v>4</v>
      </c>
      <c r="C73" s="3" t="s">
        <v>24</v>
      </c>
      <c r="D73" s="3" t="s">
        <v>25</v>
      </c>
      <c r="E73" s="3">
        <f>+IFERROR(VLOOKUP(A73,TB!$A$12:$C$403,2,),0)</f>
        <v>5000</v>
      </c>
      <c r="G73" s="3">
        <f t="shared" si="0"/>
        <v>5000</v>
      </c>
      <c r="H73" s="3">
        <f>+IFERROR(VLOOKUP(A73,TB!$A$12:$C$403,3,),0)</f>
        <v>0</v>
      </c>
      <c r="J73" s="3">
        <f t="shared" si="1"/>
        <v>0</v>
      </c>
      <c r="K73" s="3">
        <v>1389464</v>
      </c>
      <c r="L73" s="3">
        <v>0</v>
      </c>
      <c r="M73" s="3">
        <v>1389464</v>
      </c>
      <c r="N73" s="3">
        <v>0</v>
      </c>
      <c r="O73" s="3">
        <v>0</v>
      </c>
      <c r="P73" s="3">
        <v>0</v>
      </c>
    </row>
    <row r="74" spans="1:16" s="3" customFormat="1">
      <c r="A74" s="3" t="s">
        <v>26</v>
      </c>
      <c r="B74" s="4">
        <v>17</v>
      </c>
      <c r="C74" s="3" t="s">
        <v>10</v>
      </c>
      <c r="D74" s="3" t="s">
        <v>11</v>
      </c>
      <c r="E74" s="3">
        <f>+IFERROR(VLOOKUP(A74,TB!$A$12:$C$403,2,),0)</f>
        <v>0</v>
      </c>
      <c r="G74" s="3">
        <f t="shared" si="0"/>
        <v>0</v>
      </c>
      <c r="H74" s="3">
        <f>+IFERROR(VLOOKUP(A74,TB!$A$12:$C$403,3,),0)</f>
        <v>6490</v>
      </c>
      <c r="J74" s="3">
        <f t="shared" si="1"/>
        <v>6490</v>
      </c>
      <c r="K74" s="3">
        <v>0</v>
      </c>
      <c r="L74" s="3">
        <v>0</v>
      </c>
      <c r="M74" s="3">
        <v>0</v>
      </c>
      <c r="N74" s="3">
        <v>0</v>
      </c>
      <c r="O74" s="3">
        <v>0</v>
      </c>
      <c r="P74" s="3">
        <v>0</v>
      </c>
    </row>
    <row r="75" spans="1:16" s="3" customFormat="1">
      <c r="A75" s="3" t="s">
        <v>29</v>
      </c>
      <c r="B75" s="4">
        <v>27</v>
      </c>
      <c r="C75" s="3" t="s">
        <v>30</v>
      </c>
      <c r="D75" s="3" t="s">
        <v>29</v>
      </c>
      <c r="E75" s="3">
        <f>+IFERROR(VLOOKUP(A75,TB!$A$12:$C$403,2,),0)</f>
        <v>120274</v>
      </c>
      <c r="G75" s="3">
        <f t="shared" si="0"/>
        <v>120274</v>
      </c>
      <c r="H75" s="3">
        <f>+IFERROR(VLOOKUP(A75,TB!$A$12:$C$403,3,),0)</f>
        <v>0</v>
      </c>
      <c r="J75" s="3">
        <f t="shared" si="1"/>
        <v>0</v>
      </c>
      <c r="K75" s="3">
        <v>125580</v>
      </c>
      <c r="L75" s="3">
        <v>0</v>
      </c>
      <c r="M75" s="3">
        <v>125580</v>
      </c>
      <c r="N75" s="3">
        <v>0</v>
      </c>
      <c r="O75" s="3">
        <v>0</v>
      </c>
      <c r="P75" s="3">
        <v>0</v>
      </c>
    </row>
    <row r="76" spans="1:16" s="3" customFormat="1">
      <c r="A76" s="3" t="s">
        <v>31</v>
      </c>
      <c r="B76" s="4">
        <v>6</v>
      </c>
      <c r="C76" s="3" t="s">
        <v>15</v>
      </c>
      <c r="D76" s="3" t="s">
        <v>16</v>
      </c>
      <c r="E76" s="3">
        <f>+IFERROR(VLOOKUP(A76,TB!$A$12:$C$403,2,),0)</f>
        <v>509902</v>
      </c>
      <c r="G76" s="3">
        <f t="shared" si="0"/>
        <v>509902</v>
      </c>
      <c r="H76" s="3">
        <f>+IFERROR(VLOOKUP(A76,TB!$A$12:$C$403,3,),0)</f>
        <v>0</v>
      </c>
      <c r="J76" s="3">
        <f t="shared" si="1"/>
        <v>0</v>
      </c>
      <c r="K76" s="3">
        <v>1519590</v>
      </c>
      <c r="L76" s="3">
        <v>0</v>
      </c>
      <c r="M76" s="3">
        <v>1519590</v>
      </c>
      <c r="N76" s="3">
        <v>0</v>
      </c>
      <c r="O76" s="3">
        <v>0</v>
      </c>
      <c r="P76" s="3">
        <v>0</v>
      </c>
    </row>
    <row r="77" spans="1:16" s="3" customFormat="1">
      <c r="A77" s="3" t="s">
        <v>32</v>
      </c>
      <c r="B77" s="4">
        <v>6</v>
      </c>
      <c r="C77" s="3" t="s">
        <v>15</v>
      </c>
      <c r="D77" s="3" t="s">
        <v>16</v>
      </c>
      <c r="E77" s="3">
        <f>+IFERROR(VLOOKUP(A77,TB!$A$12:$C$403,2,),0)</f>
        <v>0</v>
      </c>
      <c r="G77" s="3">
        <f t="shared" si="0"/>
        <v>0</v>
      </c>
      <c r="H77" s="3">
        <f>+IFERROR(VLOOKUP(A77,TB!$A$12:$C$403,3,),0)</f>
        <v>33034</v>
      </c>
      <c r="J77" s="3">
        <f t="shared" si="1"/>
        <v>33034</v>
      </c>
      <c r="K77" s="3">
        <v>451631</v>
      </c>
      <c r="L77" s="3">
        <v>0</v>
      </c>
      <c r="M77" s="3">
        <v>451631</v>
      </c>
      <c r="N77" s="3">
        <v>0</v>
      </c>
      <c r="O77" s="3">
        <v>0</v>
      </c>
      <c r="P77" s="3">
        <v>0</v>
      </c>
    </row>
    <row r="78" spans="1:16" s="3" customFormat="1">
      <c r="A78" s="3" t="s">
        <v>33</v>
      </c>
      <c r="B78" s="4">
        <v>6</v>
      </c>
      <c r="C78" s="3" t="s">
        <v>15</v>
      </c>
      <c r="D78" s="3" t="s">
        <v>16</v>
      </c>
      <c r="E78" s="3">
        <f>+IFERROR(VLOOKUP(A78,TB!$A$12:$C$403,2,),0)</f>
        <v>0</v>
      </c>
      <c r="G78" s="3">
        <f t="shared" si="0"/>
        <v>0</v>
      </c>
      <c r="H78" s="3">
        <f>+IFERROR(VLOOKUP(A78,TB!$A$12:$C$403,3,),0)</f>
        <v>0</v>
      </c>
      <c r="J78" s="3">
        <f t="shared" si="1"/>
        <v>0</v>
      </c>
      <c r="K78" s="3">
        <v>5363383.43</v>
      </c>
      <c r="L78" s="3">
        <v>0</v>
      </c>
      <c r="M78" s="3">
        <v>5363383.43</v>
      </c>
      <c r="N78" s="3">
        <v>0</v>
      </c>
      <c r="O78" s="3">
        <v>0</v>
      </c>
      <c r="P78" s="3">
        <v>0</v>
      </c>
    </row>
    <row r="79" spans="1:16" s="3" customFormat="1">
      <c r="A79" s="3" t="s">
        <v>36</v>
      </c>
      <c r="B79" s="4">
        <v>10</v>
      </c>
      <c r="C79" s="3" t="s">
        <v>34</v>
      </c>
      <c r="D79" s="3" t="s">
        <v>35</v>
      </c>
      <c r="E79" s="3">
        <f>+IFERROR(VLOOKUP(A79,TB!$A$12:$C$403,2,),0)</f>
        <v>0</v>
      </c>
      <c r="G79" s="3">
        <f t="shared" si="0"/>
        <v>0</v>
      </c>
      <c r="H79" s="3">
        <f>+IFERROR(VLOOKUP(A79,TB!$A$12:$C$403,3,),0)</f>
        <v>0</v>
      </c>
      <c r="J79" s="3">
        <f t="shared" si="1"/>
        <v>0</v>
      </c>
      <c r="K79" s="3">
        <v>0</v>
      </c>
      <c r="L79" s="3">
        <v>0</v>
      </c>
      <c r="M79" s="3">
        <v>0</v>
      </c>
      <c r="N79" s="3">
        <v>0</v>
      </c>
      <c r="O79" s="3">
        <v>0</v>
      </c>
      <c r="P79" s="3">
        <v>0</v>
      </c>
    </row>
    <row r="80" spans="1:16" s="3" customFormat="1">
      <c r="A80" s="3" t="s">
        <v>39</v>
      </c>
      <c r="B80" s="4">
        <v>9</v>
      </c>
      <c r="C80" s="3" t="s">
        <v>37</v>
      </c>
      <c r="D80" s="3" t="s">
        <v>38</v>
      </c>
      <c r="E80" s="3">
        <f>+IFERROR(VLOOKUP(A80,TB!$A$12:$C$403,2,),0)</f>
        <v>0</v>
      </c>
      <c r="G80" s="3">
        <f t="shared" si="0"/>
        <v>0</v>
      </c>
      <c r="H80" s="3">
        <f>+IFERROR(VLOOKUP(A80,TB!$A$12:$C$403,3,),0)</f>
        <v>0</v>
      </c>
      <c r="J80" s="3">
        <f t="shared" si="1"/>
        <v>0</v>
      </c>
      <c r="K80" s="3">
        <v>1500</v>
      </c>
      <c r="L80" s="3">
        <v>0</v>
      </c>
      <c r="M80" s="3">
        <v>1500</v>
      </c>
      <c r="N80" s="3">
        <v>0</v>
      </c>
      <c r="O80" s="3">
        <v>0</v>
      </c>
      <c r="P80" s="3">
        <v>0</v>
      </c>
    </row>
    <row r="81" spans="1:16" s="3" customFormat="1">
      <c r="A81" s="3" t="s">
        <v>40</v>
      </c>
      <c r="B81" s="4">
        <v>9</v>
      </c>
      <c r="C81" s="3" t="s">
        <v>37</v>
      </c>
      <c r="D81" s="3" t="s">
        <v>38</v>
      </c>
      <c r="E81" s="3">
        <f>+IFERROR(VLOOKUP(A81,TB!$A$12:$C$403,2,),0)</f>
        <v>7000</v>
      </c>
      <c r="G81" s="3">
        <f t="shared" si="0"/>
        <v>7000</v>
      </c>
      <c r="H81" s="3">
        <f>+IFERROR(VLOOKUP(A81,TB!$A$12:$C$403,3,),0)</f>
        <v>0</v>
      </c>
      <c r="J81" s="3">
        <f t="shared" si="1"/>
        <v>0</v>
      </c>
      <c r="K81" s="3">
        <v>62000</v>
      </c>
      <c r="L81" s="3">
        <v>0</v>
      </c>
      <c r="M81" s="3">
        <v>62000</v>
      </c>
      <c r="N81" s="3">
        <v>0</v>
      </c>
      <c r="O81" s="3">
        <v>0</v>
      </c>
      <c r="P81" s="3">
        <v>0</v>
      </c>
    </row>
    <row r="82" spans="1:16" s="3" customFormat="1">
      <c r="A82" s="3" t="s">
        <v>41</v>
      </c>
      <c r="B82" s="4">
        <v>17</v>
      </c>
      <c r="C82" s="3" t="s">
        <v>10</v>
      </c>
      <c r="D82" s="3" t="s">
        <v>10</v>
      </c>
      <c r="E82" s="3">
        <f>+IFERROR(VLOOKUP(A82,TB!$A$12:$C$403,2,),0)</f>
        <v>0</v>
      </c>
      <c r="G82" s="3">
        <f t="shared" si="0"/>
        <v>0</v>
      </c>
      <c r="H82" s="3">
        <f>+IFERROR(VLOOKUP(A82,TB!$A$12:$C$403,3,),0)</f>
        <v>1093393</v>
      </c>
      <c r="I82" s="3">
        <f>-BSPL!O478</f>
        <v>-19373.903244000161</v>
      </c>
      <c r="J82" s="3">
        <f t="shared" si="1"/>
        <v>1074019.0967559998</v>
      </c>
      <c r="K82" s="3">
        <v>0</v>
      </c>
      <c r="L82" s="3">
        <v>0</v>
      </c>
      <c r="M82" s="3">
        <v>0</v>
      </c>
      <c r="N82" s="3">
        <v>0</v>
      </c>
      <c r="O82" s="3">
        <v>0</v>
      </c>
      <c r="P82" s="3">
        <v>0</v>
      </c>
    </row>
    <row r="83" spans="1:16" s="3" customFormat="1">
      <c r="A83" s="3" t="s">
        <v>42</v>
      </c>
      <c r="B83" s="4">
        <v>17</v>
      </c>
      <c r="C83" s="3" t="s">
        <v>10</v>
      </c>
      <c r="D83" s="3" t="s">
        <v>10</v>
      </c>
      <c r="E83" s="3">
        <f>+IFERROR(VLOOKUP(A83,TB!$A$12:$C$403,2,),0)</f>
        <v>0</v>
      </c>
      <c r="G83" s="3">
        <f t="shared" si="0"/>
        <v>0</v>
      </c>
      <c r="H83" s="3">
        <f>+IFERROR(VLOOKUP(A83,TB!$A$12:$C$403,3,),0)</f>
        <v>3880855</v>
      </c>
      <c r="I83" s="3">
        <f>-BSPL!O477</f>
        <v>-68765.660375000443</v>
      </c>
      <c r="J83" s="3">
        <f t="shared" si="1"/>
        <v>3812089.3396249996</v>
      </c>
      <c r="K83" s="3">
        <v>0</v>
      </c>
      <c r="L83" s="3">
        <v>0</v>
      </c>
      <c r="M83" s="3">
        <v>0</v>
      </c>
      <c r="N83" s="3">
        <v>0</v>
      </c>
      <c r="O83" s="3">
        <v>0</v>
      </c>
      <c r="P83" s="3">
        <v>0</v>
      </c>
    </row>
    <row r="84" spans="1:16" s="3" customFormat="1">
      <c r="A84" s="3" t="s">
        <v>43</v>
      </c>
      <c r="B84" s="4">
        <v>17</v>
      </c>
      <c r="C84" s="3" t="s">
        <v>10</v>
      </c>
      <c r="D84" s="3" t="s">
        <v>10</v>
      </c>
      <c r="E84" s="3">
        <f>+IFERROR(VLOOKUP(A84,TB!$A$12:$C$403,2,),0)</f>
        <v>0</v>
      </c>
      <c r="G84" s="3">
        <f t="shared" si="0"/>
        <v>0</v>
      </c>
      <c r="H84" s="3">
        <f>+IFERROR(VLOOKUP(A84,TB!$A$12:$C$403,3,),0)</f>
        <v>0</v>
      </c>
      <c r="J84" s="3">
        <f t="shared" si="1"/>
        <v>0</v>
      </c>
      <c r="K84" s="3">
        <v>0</v>
      </c>
      <c r="L84" s="3">
        <v>0</v>
      </c>
      <c r="M84" s="3">
        <v>0</v>
      </c>
      <c r="N84" s="3">
        <v>141516</v>
      </c>
      <c r="O84" s="3">
        <v>0</v>
      </c>
      <c r="P84" s="3">
        <v>141516</v>
      </c>
    </row>
    <row r="85" spans="1:16" s="3" customFormat="1">
      <c r="A85" s="3" t="s">
        <v>44</v>
      </c>
      <c r="B85" s="4">
        <v>6</v>
      </c>
      <c r="C85" s="3" t="s">
        <v>15</v>
      </c>
      <c r="D85" s="3" t="s">
        <v>16</v>
      </c>
      <c r="E85" s="3">
        <f>+IFERROR(VLOOKUP(A85,TB!$A$12:$C$403,2,),0)</f>
        <v>5613955</v>
      </c>
      <c r="G85" s="3">
        <f t="shared" si="0"/>
        <v>5613955</v>
      </c>
      <c r="H85" s="3">
        <f>+IFERROR(VLOOKUP(A85,TB!$A$12:$C$403,3,),0)</f>
        <v>0</v>
      </c>
      <c r="J85" s="3">
        <f t="shared" si="1"/>
        <v>0</v>
      </c>
      <c r="K85" s="3">
        <v>1231667</v>
      </c>
      <c r="L85" s="3">
        <v>0</v>
      </c>
      <c r="M85" s="3">
        <v>1231667</v>
      </c>
      <c r="N85" s="3">
        <v>0</v>
      </c>
      <c r="O85" s="3">
        <v>0</v>
      </c>
      <c r="P85" s="3">
        <v>0</v>
      </c>
    </row>
    <row r="86" spans="1:16" s="3" customFormat="1">
      <c r="A86" s="3" t="s">
        <v>2766</v>
      </c>
      <c r="B86" s="4">
        <v>17</v>
      </c>
      <c r="C86" s="3" t="s">
        <v>10</v>
      </c>
      <c r="D86" s="3" t="s">
        <v>10</v>
      </c>
      <c r="E86" s="3">
        <f>+IFERROR(VLOOKUP(A86,TB!$A$12:$C$403,2,),0)</f>
        <v>0</v>
      </c>
      <c r="G86" s="3">
        <f t="shared" ref="G86:G87" si="4">+E86+F86</f>
        <v>0</v>
      </c>
      <c r="H86" s="3">
        <f>+IFERROR(VLOOKUP(A86,TB!$A$12:$C$403,3,),0)</f>
        <v>533042</v>
      </c>
      <c r="J86" s="3">
        <f t="shared" ref="J86:J87" si="5">+H86+I86</f>
        <v>533042</v>
      </c>
    </row>
    <row r="87" spans="1:16" s="3" customFormat="1">
      <c r="A87" s="3" t="s">
        <v>2767</v>
      </c>
      <c r="B87" s="4">
        <v>17</v>
      </c>
      <c r="C87" s="3" t="s">
        <v>10</v>
      </c>
      <c r="D87" s="3" t="s">
        <v>10</v>
      </c>
      <c r="E87" s="3">
        <f>+IFERROR(VLOOKUP(A87,TB!$A$12:$C$403,2,),0)</f>
        <v>0</v>
      </c>
      <c r="G87" s="3">
        <f t="shared" si="4"/>
        <v>0</v>
      </c>
      <c r="H87" s="3">
        <f>+IFERROR(VLOOKUP(A87,TB!$A$12:$C$403,3,),0)</f>
        <v>996630</v>
      </c>
      <c r="J87" s="3">
        <f t="shared" si="5"/>
        <v>996630</v>
      </c>
    </row>
    <row r="88" spans="1:16" s="3" customFormat="1">
      <c r="A88" s="3" t="s">
        <v>45</v>
      </c>
      <c r="B88" s="4">
        <v>17</v>
      </c>
      <c r="C88" s="3" t="s">
        <v>10</v>
      </c>
      <c r="D88" s="3" t="s">
        <v>11</v>
      </c>
      <c r="E88" s="3">
        <f>+IFERROR(VLOOKUP(A88,TB!$A$12:$C$403,2,),0)</f>
        <v>0</v>
      </c>
      <c r="G88" s="3">
        <f t="shared" si="0"/>
        <v>0</v>
      </c>
      <c r="H88" s="3">
        <f>+IFERROR(VLOOKUP(A88,TB!$A$12:$C$403,3,),0)</f>
        <v>0</v>
      </c>
      <c r="J88" s="3">
        <f t="shared" si="1"/>
        <v>0</v>
      </c>
      <c r="K88" s="3">
        <v>0</v>
      </c>
      <c r="L88" s="3">
        <v>0</v>
      </c>
      <c r="M88" s="3">
        <v>0</v>
      </c>
      <c r="N88" s="3">
        <v>41913</v>
      </c>
      <c r="O88" s="3">
        <v>0</v>
      </c>
      <c r="P88" s="3">
        <v>41913</v>
      </c>
    </row>
    <row r="89" spans="1:16" s="3" customFormat="1">
      <c r="A89" s="3" t="s">
        <v>46</v>
      </c>
      <c r="B89" s="4">
        <v>13</v>
      </c>
      <c r="C89" s="3" t="s">
        <v>47</v>
      </c>
      <c r="D89" s="3" t="s">
        <v>48</v>
      </c>
      <c r="E89" s="3">
        <f>+IFERROR(VLOOKUP(A89,TB!$A$12:$C$403,2,),0)</f>
        <v>0</v>
      </c>
      <c r="G89" s="3">
        <f t="shared" ref="G89:G109" si="6">+E89+F89</f>
        <v>0</v>
      </c>
      <c r="H89" s="3">
        <f>+IFERROR(VLOOKUP(A89,TB!$A$12:$C$403,3,),0)</f>
        <v>2723419</v>
      </c>
      <c r="J89" s="3">
        <f t="shared" ref="J89:J109" si="7">+H89+I89</f>
        <v>2723419</v>
      </c>
      <c r="K89" s="3">
        <v>0</v>
      </c>
      <c r="L89" s="3">
        <v>0</v>
      </c>
      <c r="M89" s="3">
        <v>0</v>
      </c>
      <c r="N89" s="3">
        <v>2535850</v>
      </c>
      <c r="O89" s="3">
        <v>0</v>
      </c>
      <c r="P89" s="3">
        <v>2535850</v>
      </c>
    </row>
    <row r="90" spans="1:16" s="3" customFormat="1">
      <c r="A90" s="3" t="s">
        <v>49</v>
      </c>
      <c r="B90" s="4">
        <v>13</v>
      </c>
      <c r="C90" s="3" t="s">
        <v>47</v>
      </c>
      <c r="D90" s="3" t="s">
        <v>48</v>
      </c>
      <c r="E90" s="3">
        <f>+IFERROR(VLOOKUP(A90,TB!$A$12:$C$403,2,),0)</f>
        <v>0</v>
      </c>
      <c r="G90" s="3">
        <f t="shared" si="6"/>
        <v>0</v>
      </c>
      <c r="H90" s="3">
        <f>+IFERROR(VLOOKUP(A90,TB!$A$12:$C$403,3,),0)</f>
        <v>1085610</v>
      </c>
      <c r="J90" s="3">
        <f t="shared" si="7"/>
        <v>1085610</v>
      </c>
      <c r="K90" s="3">
        <v>0</v>
      </c>
      <c r="L90" s="3">
        <v>0</v>
      </c>
      <c r="M90" s="3">
        <v>0</v>
      </c>
      <c r="N90" s="3">
        <v>1010842</v>
      </c>
      <c r="O90" s="3">
        <v>0</v>
      </c>
      <c r="P90" s="3">
        <v>1010842</v>
      </c>
    </row>
    <row r="91" spans="1:16" s="3" customFormat="1">
      <c r="A91" s="3" t="s">
        <v>50</v>
      </c>
      <c r="B91" s="4">
        <v>27</v>
      </c>
      <c r="C91" s="3" t="s">
        <v>51</v>
      </c>
      <c r="D91" s="3" t="s">
        <v>52</v>
      </c>
      <c r="E91" s="3">
        <f>+IFERROR(VLOOKUP(A91,TB!$A$12:$C$403,2,),0)</f>
        <v>145333</v>
      </c>
      <c r="G91" s="3">
        <f t="shared" si="6"/>
        <v>145333</v>
      </c>
      <c r="H91" s="3">
        <f>+IFERROR(VLOOKUP(A91,TB!$A$12:$C$403,3,),0)</f>
        <v>0</v>
      </c>
      <c r="J91" s="3">
        <f t="shared" si="7"/>
        <v>0</v>
      </c>
      <c r="K91" s="3">
        <v>148357</v>
      </c>
      <c r="L91" s="3">
        <v>0</v>
      </c>
      <c r="M91" s="3">
        <v>148357</v>
      </c>
      <c r="N91" s="3">
        <v>0</v>
      </c>
      <c r="O91" s="3">
        <v>0</v>
      </c>
      <c r="P91" s="3">
        <v>0</v>
      </c>
    </row>
    <row r="92" spans="1:16" s="3" customFormat="1">
      <c r="A92" s="3" t="s">
        <v>53</v>
      </c>
      <c r="B92" s="4">
        <v>27</v>
      </c>
      <c r="C92" s="3" t="s">
        <v>51</v>
      </c>
      <c r="D92" s="3" t="s">
        <v>52</v>
      </c>
      <c r="E92" s="3">
        <f>+IFERROR(VLOOKUP(A92,TB!$A$12:$C$403,2,),0)</f>
        <v>18000</v>
      </c>
      <c r="G92" s="3">
        <f t="shared" si="6"/>
        <v>18000</v>
      </c>
      <c r="H92" s="3">
        <f>+IFERROR(VLOOKUP(A92,TB!$A$12:$C$403,3,),0)</f>
        <v>0</v>
      </c>
      <c r="J92" s="3">
        <f t="shared" si="7"/>
        <v>0</v>
      </c>
      <c r="K92" s="3">
        <v>12424</v>
      </c>
      <c r="L92" s="3">
        <v>0</v>
      </c>
      <c r="M92" s="3">
        <v>12424</v>
      </c>
      <c r="N92" s="3">
        <v>0</v>
      </c>
      <c r="O92" s="3">
        <v>0</v>
      </c>
      <c r="P92" s="3">
        <v>0</v>
      </c>
    </row>
    <row r="93" spans="1:16" s="3" customFormat="1">
      <c r="A93" s="3" t="s">
        <v>54</v>
      </c>
      <c r="B93" s="4">
        <v>27</v>
      </c>
      <c r="C93" s="3" t="s">
        <v>51</v>
      </c>
      <c r="D93" s="3" t="s">
        <v>55</v>
      </c>
      <c r="E93" s="3">
        <f>+IFERROR(VLOOKUP(A93,TB!$A$12:$C$403,2,),0)</f>
        <v>55000</v>
      </c>
      <c r="G93" s="3">
        <f t="shared" si="6"/>
        <v>55000</v>
      </c>
      <c r="H93" s="3">
        <f>+IFERROR(VLOOKUP(A93,TB!$A$12:$C$403,3,),0)</f>
        <v>0</v>
      </c>
      <c r="J93" s="3">
        <f t="shared" si="7"/>
        <v>0</v>
      </c>
      <c r="K93" s="3">
        <v>55000</v>
      </c>
      <c r="L93" s="3">
        <v>0</v>
      </c>
      <c r="M93" s="3">
        <v>55000</v>
      </c>
      <c r="N93" s="3">
        <v>0</v>
      </c>
      <c r="O93" s="3">
        <v>0</v>
      </c>
      <c r="P93" s="3">
        <v>0</v>
      </c>
    </row>
    <row r="94" spans="1:16" s="3" customFormat="1">
      <c r="A94" s="3" t="s">
        <v>56</v>
      </c>
      <c r="B94" s="4">
        <v>27</v>
      </c>
      <c r="C94" s="3" t="s">
        <v>51</v>
      </c>
      <c r="D94" s="3" t="s">
        <v>55</v>
      </c>
      <c r="E94" s="3">
        <f>+IFERROR(VLOOKUP(A94,TB!$A$12:$C$403,2,),0)</f>
        <v>0</v>
      </c>
      <c r="G94" s="3">
        <f t="shared" si="6"/>
        <v>0</v>
      </c>
      <c r="H94" s="3">
        <f>+IFERROR(VLOOKUP(A94,TB!$A$12:$C$403,3,),0)</f>
        <v>0</v>
      </c>
      <c r="J94" s="3">
        <f t="shared" si="7"/>
        <v>0</v>
      </c>
      <c r="K94" s="3">
        <v>48000</v>
      </c>
      <c r="L94" s="3">
        <v>0</v>
      </c>
      <c r="M94" s="3">
        <v>48000</v>
      </c>
      <c r="N94" s="3">
        <v>0</v>
      </c>
      <c r="O94" s="3">
        <v>0</v>
      </c>
      <c r="P94" s="3">
        <v>0</v>
      </c>
    </row>
    <row r="95" spans="1:16" s="3" customFormat="1">
      <c r="A95" s="3" t="s">
        <v>60</v>
      </c>
      <c r="B95" s="4">
        <v>27</v>
      </c>
      <c r="C95" s="3" t="s">
        <v>51</v>
      </c>
      <c r="D95" s="3" t="s">
        <v>61</v>
      </c>
      <c r="E95" s="3">
        <f>+IFERROR(VLOOKUP(A95,TB!$A$12:$C$403,2,),0)</f>
        <v>0</v>
      </c>
      <c r="G95" s="3">
        <f t="shared" si="6"/>
        <v>0</v>
      </c>
      <c r="H95" s="3">
        <f>+IFERROR(VLOOKUP(A95,TB!$A$12:$C$403,3,),0)</f>
        <v>0</v>
      </c>
      <c r="J95" s="3">
        <f t="shared" si="7"/>
        <v>0</v>
      </c>
      <c r="K95" s="3">
        <v>762</v>
      </c>
      <c r="L95" s="3">
        <v>0</v>
      </c>
      <c r="M95" s="3">
        <v>762</v>
      </c>
      <c r="N95" s="3">
        <v>0</v>
      </c>
      <c r="O95" s="3">
        <v>0</v>
      </c>
      <c r="P95" s="3">
        <v>0</v>
      </c>
    </row>
    <row r="96" spans="1:16" s="3" customFormat="1">
      <c r="A96" s="3" t="s">
        <v>2388</v>
      </c>
      <c r="B96" s="4">
        <v>17</v>
      </c>
      <c r="C96" s="3" t="s">
        <v>10</v>
      </c>
      <c r="D96" s="3" t="s">
        <v>11</v>
      </c>
      <c r="E96" s="3">
        <f>+IFERROR(VLOOKUP(A96,TB!$A$12:$C$403,2,),0)</f>
        <v>0</v>
      </c>
      <c r="G96" s="3">
        <f t="shared" ref="G96" si="8">+E96+F96</f>
        <v>0</v>
      </c>
      <c r="H96" s="3">
        <f>+IFERROR(VLOOKUP(A96,TB!$A$12:$C$403,3,),0)</f>
        <v>0</v>
      </c>
      <c r="J96" s="3">
        <f t="shared" ref="J96" si="9">+H96+I96</f>
        <v>0</v>
      </c>
    </row>
    <row r="97" spans="1:16" s="3" customFormat="1">
      <c r="A97" s="3" t="s">
        <v>62</v>
      </c>
      <c r="B97" s="4">
        <v>17</v>
      </c>
      <c r="C97" s="3" t="s">
        <v>10</v>
      </c>
      <c r="D97" s="3" t="s">
        <v>11</v>
      </c>
      <c r="E97" s="3">
        <f>+IFERROR(VLOOKUP(A97,TB!$A$12:$C$403,2,),0)</f>
        <v>0</v>
      </c>
      <c r="G97" s="3">
        <f t="shared" si="6"/>
        <v>0</v>
      </c>
      <c r="H97" s="3">
        <f>+IFERROR(VLOOKUP(A97,TB!$A$12:$C$403,3,),0)</f>
        <v>247500</v>
      </c>
      <c r="J97" s="3">
        <f t="shared" si="7"/>
        <v>247500</v>
      </c>
      <c r="K97" s="3">
        <v>0</v>
      </c>
      <c r="L97" s="3">
        <v>0</v>
      </c>
      <c r="M97" s="3">
        <v>0</v>
      </c>
      <c r="N97" s="3">
        <v>247500</v>
      </c>
      <c r="O97" s="3">
        <v>0</v>
      </c>
      <c r="P97" s="3">
        <v>247500</v>
      </c>
    </row>
    <row r="98" spans="1:16" s="3" customFormat="1">
      <c r="A98" s="3" t="s">
        <v>63</v>
      </c>
      <c r="B98" s="4">
        <v>27</v>
      </c>
      <c r="C98" s="3" t="s">
        <v>51</v>
      </c>
      <c r="D98" s="3" t="s">
        <v>63</v>
      </c>
      <c r="E98" s="3">
        <f>+IFERROR(VLOOKUP(A98,TB!$A$12:$C$403,2,),0)</f>
        <v>0</v>
      </c>
      <c r="G98" s="3">
        <f t="shared" si="6"/>
        <v>0</v>
      </c>
      <c r="H98" s="3">
        <f>+IFERROR(VLOOKUP(A98,TB!$A$12:$C$403,3,),0)</f>
        <v>0</v>
      </c>
      <c r="J98" s="3">
        <f t="shared" si="7"/>
        <v>0</v>
      </c>
      <c r="K98" s="3">
        <v>6461</v>
      </c>
      <c r="L98" s="3">
        <v>0</v>
      </c>
      <c r="M98" s="3">
        <v>6461</v>
      </c>
      <c r="N98" s="3">
        <v>0</v>
      </c>
      <c r="O98" s="3">
        <v>0</v>
      </c>
      <c r="P98" s="3">
        <v>0</v>
      </c>
    </row>
    <row r="99" spans="1:16" s="3" customFormat="1">
      <c r="A99" s="3" t="s">
        <v>64</v>
      </c>
      <c r="B99" s="4">
        <v>17</v>
      </c>
      <c r="C99" s="3" t="s">
        <v>10</v>
      </c>
      <c r="D99" s="3" t="s">
        <v>10</v>
      </c>
      <c r="E99" s="3">
        <f>+IFERROR(VLOOKUP(A99,TB!$A$12:$C$403,2,),0)</f>
        <v>0</v>
      </c>
      <c r="G99" s="3">
        <f t="shared" si="6"/>
        <v>0</v>
      </c>
      <c r="H99" s="3">
        <f>+IFERROR(VLOOKUP(A99,TB!$A$12:$C$403,3,),0)</f>
        <v>156616</v>
      </c>
      <c r="J99" s="3">
        <f t="shared" si="7"/>
        <v>156616</v>
      </c>
      <c r="K99" s="3">
        <v>0</v>
      </c>
      <c r="L99" s="3">
        <v>0</v>
      </c>
      <c r="M99" s="3">
        <v>0</v>
      </c>
      <c r="N99" s="3">
        <v>96676.08</v>
      </c>
      <c r="O99" s="3">
        <v>0</v>
      </c>
      <c r="P99" s="3">
        <v>96676.08</v>
      </c>
    </row>
    <row r="100" spans="1:16" s="3" customFormat="1">
      <c r="A100" s="3" t="s">
        <v>65</v>
      </c>
      <c r="B100" s="4">
        <v>13</v>
      </c>
      <c r="C100" s="3" t="s">
        <v>47</v>
      </c>
      <c r="D100" s="3" t="s">
        <v>48</v>
      </c>
      <c r="E100" s="3">
        <f>+IFERROR(VLOOKUP(A100,TB!$A$12:$C$403,2,),0)</f>
        <v>0</v>
      </c>
      <c r="G100" s="3">
        <f t="shared" si="6"/>
        <v>0</v>
      </c>
      <c r="H100" s="3">
        <f>+IFERROR(VLOOKUP(A100,TB!$A$12:$C$403,3,),0)</f>
        <v>853856</v>
      </c>
      <c r="J100" s="3">
        <f t="shared" si="7"/>
        <v>853856</v>
      </c>
      <c r="K100" s="3">
        <v>0</v>
      </c>
      <c r="L100" s="3">
        <v>0</v>
      </c>
      <c r="M100" s="3">
        <v>0</v>
      </c>
      <c r="N100" s="3">
        <v>1263552</v>
      </c>
      <c r="O100" s="3">
        <v>0</v>
      </c>
      <c r="P100" s="3">
        <v>1263552</v>
      </c>
    </row>
    <row r="101" spans="1:16" s="3" customFormat="1">
      <c r="A101" s="3" t="s">
        <v>66</v>
      </c>
      <c r="B101" s="4">
        <v>27</v>
      </c>
      <c r="C101" s="3" t="s">
        <v>51</v>
      </c>
      <c r="D101" s="3" t="s">
        <v>66</v>
      </c>
      <c r="E101" s="3">
        <f>+IFERROR(VLOOKUP(A101,TB!$A$12:$C$403,2,),0)</f>
        <v>412603.48</v>
      </c>
      <c r="G101" s="3">
        <f t="shared" si="6"/>
        <v>412603.48</v>
      </c>
      <c r="H101" s="3">
        <f>+IFERROR(VLOOKUP(A101,TB!$A$12:$C$403,3,),0)</f>
        <v>0</v>
      </c>
      <c r="J101" s="3">
        <f t="shared" si="7"/>
        <v>0</v>
      </c>
      <c r="K101" s="3">
        <v>458584.8</v>
      </c>
      <c r="L101" s="3">
        <v>0</v>
      </c>
      <c r="M101" s="3">
        <v>458584.8</v>
      </c>
      <c r="N101" s="3">
        <v>0</v>
      </c>
      <c r="O101" s="3">
        <v>0</v>
      </c>
      <c r="P101" s="3">
        <v>0</v>
      </c>
    </row>
    <row r="102" spans="1:16" s="3" customFormat="1">
      <c r="A102" s="3" t="s">
        <v>67</v>
      </c>
      <c r="B102" s="4">
        <v>27</v>
      </c>
      <c r="C102" s="3" t="s">
        <v>51</v>
      </c>
      <c r="D102" s="3" t="s">
        <v>68</v>
      </c>
      <c r="E102" s="3">
        <f>+IFERROR(VLOOKUP(A102,TB!$A$12:$C$403,2,),0)</f>
        <v>0</v>
      </c>
      <c r="G102" s="3">
        <f t="shared" si="6"/>
        <v>0</v>
      </c>
      <c r="H102" s="3">
        <f>+IFERROR(VLOOKUP(A102,TB!$A$12:$C$403,3,),0)</f>
        <v>0</v>
      </c>
      <c r="J102" s="3">
        <f t="shared" si="7"/>
        <v>0</v>
      </c>
      <c r="K102" s="3">
        <v>956688</v>
      </c>
      <c r="L102" s="3">
        <v>0</v>
      </c>
      <c r="M102" s="3">
        <v>956688</v>
      </c>
      <c r="N102" s="3">
        <v>0</v>
      </c>
      <c r="O102" s="3">
        <v>0</v>
      </c>
      <c r="P102" s="3">
        <v>0</v>
      </c>
    </row>
    <row r="103" spans="1:16" s="3" customFormat="1">
      <c r="A103" s="3" t="s">
        <v>69</v>
      </c>
      <c r="B103" s="4">
        <v>27</v>
      </c>
      <c r="C103" s="3" t="s">
        <v>51</v>
      </c>
      <c r="D103" s="3" t="s">
        <v>66</v>
      </c>
      <c r="E103" s="3">
        <f>+IFERROR(VLOOKUP(A103,TB!$A$12:$C$403,2,),0)</f>
        <v>0</v>
      </c>
      <c r="G103" s="3">
        <f t="shared" si="6"/>
        <v>0</v>
      </c>
      <c r="H103" s="3">
        <f>+IFERROR(VLOOKUP(A103,TB!$A$12:$C$403,3,),0)</f>
        <v>0</v>
      </c>
      <c r="J103" s="3">
        <f t="shared" si="7"/>
        <v>0</v>
      </c>
      <c r="K103" s="3">
        <v>56000</v>
      </c>
      <c r="L103" s="3">
        <v>0</v>
      </c>
      <c r="M103" s="3">
        <v>56000</v>
      </c>
      <c r="N103" s="3">
        <v>0</v>
      </c>
      <c r="O103" s="3">
        <v>0</v>
      </c>
      <c r="P103" s="3">
        <v>0</v>
      </c>
    </row>
    <row r="104" spans="1:16" s="3" customFormat="1">
      <c r="A104" s="3" t="s">
        <v>70</v>
      </c>
      <c r="B104" s="4">
        <v>26</v>
      </c>
      <c r="C104" s="3" t="s">
        <v>71</v>
      </c>
      <c r="D104" s="3" t="s">
        <v>72</v>
      </c>
      <c r="E104" s="3">
        <f>+IFERROR(VLOOKUP(A104,TB!$A$12:$C$403,2,),0)</f>
        <v>175317</v>
      </c>
      <c r="G104" s="3">
        <f t="shared" si="6"/>
        <v>175317</v>
      </c>
      <c r="H104" s="3">
        <f>+IFERROR(VLOOKUP(A104,TB!$A$12:$C$403,3,),0)</f>
        <v>0</v>
      </c>
      <c r="J104" s="3">
        <f t="shared" si="7"/>
        <v>0</v>
      </c>
      <c r="K104" s="3">
        <v>243852</v>
      </c>
      <c r="L104" s="3">
        <v>0</v>
      </c>
      <c r="M104" s="3">
        <v>243852</v>
      </c>
      <c r="N104" s="3">
        <v>0</v>
      </c>
      <c r="O104" s="3">
        <v>0</v>
      </c>
      <c r="P104" s="3">
        <v>0</v>
      </c>
    </row>
    <row r="105" spans="1:16" s="3" customFormat="1">
      <c r="A105" s="3" t="s">
        <v>73</v>
      </c>
      <c r="B105" s="4">
        <v>17</v>
      </c>
      <c r="C105" s="3" t="s">
        <v>10</v>
      </c>
      <c r="D105" s="3" t="s">
        <v>10</v>
      </c>
      <c r="E105" s="3">
        <f>+IFERROR(VLOOKUP(A105,TB!$A$12:$C$403,2,),0)</f>
        <v>0</v>
      </c>
      <c r="G105" s="3">
        <f t="shared" si="6"/>
        <v>0</v>
      </c>
      <c r="H105" s="3">
        <f>+IFERROR(VLOOKUP(A105,TB!$A$12:$C$403,3,),0)</f>
        <v>54681</v>
      </c>
      <c r="J105" s="3">
        <f t="shared" si="7"/>
        <v>54681</v>
      </c>
      <c r="K105" s="3">
        <v>0</v>
      </c>
      <c r="L105" s="3">
        <v>0</v>
      </c>
      <c r="M105" s="3">
        <v>0</v>
      </c>
      <c r="N105" s="3">
        <v>57396</v>
      </c>
      <c r="O105" s="3">
        <v>0</v>
      </c>
      <c r="P105" s="3">
        <v>57396</v>
      </c>
    </row>
    <row r="106" spans="1:16" s="3" customFormat="1">
      <c r="A106" s="3" t="s">
        <v>74</v>
      </c>
      <c r="B106" s="4">
        <v>6</v>
      </c>
      <c r="C106" s="3" t="s">
        <v>15</v>
      </c>
      <c r="D106" s="3" t="s">
        <v>16</v>
      </c>
      <c r="E106" s="3">
        <f>+IFERROR(VLOOKUP(A106,TB!$A$12:$C$403,2,),0)</f>
        <v>0</v>
      </c>
      <c r="G106" s="3">
        <f t="shared" si="6"/>
        <v>0</v>
      </c>
      <c r="H106" s="3">
        <f>+IFERROR(VLOOKUP(A106,TB!$A$12:$C$403,3,),0)</f>
        <v>0</v>
      </c>
      <c r="J106" s="3">
        <f t="shared" si="7"/>
        <v>0</v>
      </c>
      <c r="K106" s="3">
        <v>2902069</v>
      </c>
      <c r="L106" s="3">
        <v>0</v>
      </c>
      <c r="M106" s="3">
        <v>2902069</v>
      </c>
      <c r="N106" s="3">
        <v>0</v>
      </c>
      <c r="O106" s="3">
        <v>0</v>
      </c>
      <c r="P106" s="3">
        <v>0</v>
      </c>
    </row>
    <row r="107" spans="1:16" s="3" customFormat="1">
      <c r="A107" s="3" t="s">
        <v>75</v>
      </c>
      <c r="B107" s="4">
        <v>9</v>
      </c>
      <c r="C107" s="3" t="s">
        <v>37</v>
      </c>
      <c r="D107" s="3" t="s">
        <v>38</v>
      </c>
      <c r="E107" s="3">
        <f>+IFERROR(VLOOKUP(A107,TB!$A$12:$C$403,2,),0)</f>
        <v>17500</v>
      </c>
      <c r="G107" s="3">
        <f t="shared" si="6"/>
        <v>17500</v>
      </c>
      <c r="H107" s="3">
        <f>+IFERROR(VLOOKUP(A107,TB!$A$12:$C$403,3,),0)</f>
        <v>0</v>
      </c>
      <c r="J107" s="3">
        <f t="shared" si="7"/>
        <v>0</v>
      </c>
      <c r="K107" s="3">
        <v>5000</v>
      </c>
      <c r="L107" s="3">
        <v>0</v>
      </c>
      <c r="M107" s="3">
        <v>5000</v>
      </c>
      <c r="N107" s="3">
        <v>0</v>
      </c>
      <c r="O107" s="3">
        <v>0</v>
      </c>
      <c r="P107" s="3">
        <v>0</v>
      </c>
    </row>
    <row r="108" spans="1:16" s="3" customFormat="1">
      <c r="A108" s="3" t="s">
        <v>76</v>
      </c>
      <c r="B108" s="4">
        <v>27</v>
      </c>
      <c r="C108" s="3" t="s">
        <v>77</v>
      </c>
      <c r="D108" s="3" t="s">
        <v>78</v>
      </c>
      <c r="E108" s="3">
        <f>+IFERROR(VLOOKUP(A108,TB!$A$12:$C$403,2,),0)</f>
        <v>3043560</v>
      </c>
      <c r="G108" s="3">
        <f t="shared" si="6"/>
        <v>3043560</v>
      </c>
      <c r="H108" s="3">
        <f>+IFERROR(VLOOKUP(A108,TB!$A$12:$C$403,3,),0)</f>
        <v>0</v>
      </c>
      <c r="J108" s="3">
        <f t="shared" si="7"/>
        <v>0</v>
      </c>
      <c r="K108" s="3">
        <v>3807870</v>
      </c>
      <c r="L108" s="3">
        <v>0</v>
      </c>
      <c r="M108" s="3">
        <v>3807870</v>
      </c>
      <c r="N108" s="3">
        <v>0</v>
      </c>
      <c r="O108" s="3">
        <v>0</v>
      </c>
      <c r="P108" s="3">
        <v>0</v>
      </c>
    </row>
    <row r="109" spans="1:16" s="3" customFormat="1">
      <c r="A109" s="3" t="s">
        <v>79</v>
      </c>
      <c r="B109" s="4">
        <v>27</v>
      </c>
      <c r="C109" s="3" t="s">
        <v>51</v>
      </c>
      <c r="D109" s="3" t="s">
        <v>80</v>
      </c>
      <c r="E109" s="3">
        <f>+IFERROR(VLOOKUP(A109,TB!$A$12:$C$403,2,),0)</f>
        <v>3329</v>
      </c>
      <c r="G109" s="3">
        <f t="shared" si="6"/>
        <v>3329</v>
      </c>
      <c r="H109" s="3">
        <f>+IFERROR(VLOOKUP(A109,TB!$A$12:$C$403,3,),0)</f>
        <v>0</v>
      </c>
      <c r="J109" s="3">
        <f t="shared" si="7"/>
        <v>0</v>
      </c>
      <c r="K109" s="3">
        <v>3293</v>
      </c>
      <c r="L109" s="3">
        <v>0</v>
      </c>
      <c r="M109" s="3">
        <v>3293</v>
      </c>
      <c r="N109" s="3">
        <v>0</v>
      </c>
      <c r="O109" s="3">
        <v>0</v>
      </c>
      <c r="P109" s="3">
        <v>0</v>
      </c>
    </row>
    <row r="110" spans="1:16" s="3" customFormat="1">
      <c r="A110" s="3" t="s">
        <v>81</v>
      </c>
      <c r="B110" s="4">
        <v>2</v>
      </c>
      <c r="C110" s="3" t="s">
        <v>82</v>
      </c>
      <c r="D110" s="3" t="s">
        <v>83</v>
      </c>
      <c r="E110" s="3">
        <f>+IFERROR(VLOOKUP(A110,TB!$A$12:$C$403,2,),0)</f>
        <v>64116710.619999997</v>
      </c>
      <c r="G110" s="3">
        <f t="shared" ref="G110:G125" si="10">+E110+F110</f>
        <v>64116710.619999997</v>
      </c>
      <c r="H110" s="3">
        <f>+IFERROR(VLOOKUP(A110,TB!$A$12:$C$403,3,),0)</f>
        <v>0</v>
      </c>
      <c r="J110" s="3">
        <f t="shared" ref="J110:J125" si="11">+H110+I110</f>
        <v>0</v>
      </c>
      <c r="K110" s="3">
        <v>61286378.619999997</v>
      </c>
      <c r="L110" s="3">
        <v>0</v>
      </c>
      <c r="M110" s="3">
        <v>61286378.619999997</v>
      </c>
      <c r="N110" s="3">
        <v>0</v>
      </c>
      <c r="O110" s="3">
        <v>0</v>
      </c>
      <c r="P110" s="3">
        <v>0</v>
      </c>
    </row>
    <row r="111" spans="1:16" s="3" customFormat="1">
      <c r="A111" s="3" t="s">
        <v>84</v>
      </c>
      <c r="B111" s="4">
        <v>12</v>
      </c>
      <c r="C111" s="3" t="s">
        <v>85</v>
      </c>
      <c r="D111" s="3" t="s">
        <v>86</v>
      </c>
      <c r="E111" s="3">
        <f>+IFERROR(VLOOKUP(A111,TB!$A$12:$C$403,2,),0)</f>
        <v>0</v>
      </c>
      <c r="G111" s="3">
        <f t="shared" si="10"/>
        <v>0</v>
      </c>
      <c r="H111" s="3">
        <f>+IFERROR(VLOOKUP(A111,TB!$A$12:$C$403,3,),0)</f>
        <v>20413989</v>
      </c>
      <c r="J111" s="3">
        <f t="shared" si="11"/>
        <v>20413989</v>
      </c>
      <c r="K111" s="3">
        <v>0</v>
      </c>
      <c r="L111" s="3">
        <v>0</v>
      </c>
      <c r="M111" s="3">
        <v>0</v>
      </c>
      <c r="N111" s="3">
        <v>20413989</v>
      </c>
      <c r="O111" s="3">
        <v>0</v>
      </c>
      <c r="P111" s="3">
        <v>20413989</v>
      </c>
    </row>
    <row r="112" spans="1:16" s="3" customFormat="1">
      <c r="A112" s="3" t="s">
        <v>88</v>
      </c>
      <c r="B112" s="4">
        <v>27</v>
      </c>
      <c r="C112" s="3" t="s">
        <v>51</v>
      </c>
      <c r="D112" s="3" t="s">
        <v>87</v>
      </c>
      <c r="E112" s="3">
        <f>+IFERROR(VLOOKUP(A112,TB!$A$12:$C$403,2,),0)</f>
        <v>800</v>
      </c>
      <c r="G112" s="3">
        <f t="shared" si="10"/>
        <v>800</v>
      </c>
      <c r="H112" s="3">
        <f>+IFERROR(VLOOKUP(A112,TB!$A$12:$C$403,3,),0)</f>
        <v>0</v>
      </c>
      <c r="J112" s="3">
        <f t="shared" si="11"/>
        <v>0</v>
      </c>
      <c r="K112" s="3">
        <v>8887</v>
      </c>
      <c r="L112" s="3">
        <v>0</v>
      </c>
      <c r="M112" s="3">
        <v>8887</v>
      </c>
      <c r="N112" s="3">
        <v>0</v>
      </c>
      <c r="O112" s="3">
        <v>0</v>
      </c>
      <c r="P112" s="3">
        <v>0</v>
      </c>
    </row>
    <row r="113" spans="1:16" s="3" customFormat="1">
      <c r="A113" s="3" t="s">
        <v>89</v>
      </c>
      <c r="B113" s="4">
        <v>27</v>
      </c>
      <c r="C113" s="3" t="s">
        <v>77</v>
      </c>
      <c r="D113" s="3" t="s">
        <v>90</v>
      </c>
      <c r="E113" s="3">
        <f>+IFERROR(VLOOKUP(A113,TB!$A$12:$C$403,2,),0)</f>
        <v>492951</v>
      </c>
      <c r="G113" s="3">
        <f t="shared" si="10"/>
        <v>492951</v>
      </c>
      <c r="H113" s="3">
        <f>+IFERROR(VLOOKUP(A113,TB!$A$12:$C$403,3,),0)</f>
        <v>0</v>
      </c>
      <c r="J113" s="3">
        <f t="shared" si="11"/>
        <v>0</v>
      </c>
      <c r="K113" s="3">
        <v>545036</v>
      </c>
      <c r="L113" s="3">
        <v>0</v>
      </c>
      <c r="M113" s="3">
        <v>545036</v>
      </c>
      <c r="N113" s="3">
        <v>0</v>
      </c>
      <c r="O113" s="3">
        <v>0</v>
      </c>
      <c r="P113" s="3">
        <v>0</v>
      </c>
    </row>
    <row r="114" spans="1:16" s="3" customFormat="1">
      <c r="A114" s="3" t="s">
        <v>91</v>
      </c>
      <c r="B114" s="4">
        <v>27</v>
      </c>
      <c r="C114" s="3" t="s">
        <v>77</v>
      </c>
      <c r="D114" s="3" t="s">
        <v>78</v>
      </c>
      <c r="E114" s="3">
        <f>+IFERROR(VLOOKUP(A114,TB!$A$12:$C$403,2,),0)</f>
        <v>283443</v>
      </c>
      <c r="G114" s="3">
        <f t="shared" si="10"/>
        <v>283443</v>
      </c>
      <c r="H114" s="3">
        <f>+IFERROR(VLOOKUP(A114,TB!$A$12:$C$403,3,),0)</f>
        <v>0</v>
      </c>
      <c r="J114" s="3">
        <f t="shared" si="11"/>
        <v>0</v>
      </c>
      <c r="K114" s="3">
        <v>264579</v>
      </c>
      <c r="L114" s="3">
        <v>0</v>
      </c>
      <c r="M114" s="3">
        <v>264579</v>
      </c>
      <c r="N114" s="3">
        <v>0</v>
      </c>
      <c r="O114" s="3">
        <v>0</v>
      </c>
      <c r="P114" s="3">
        <v>0</v>
      </c>
    </row>
    <row r="115" spans="1:16" s="3" customFormat="1">
      <c r="A115" s="3" t="s">
        <v>92</v>
      </c>
      <c r="B115" s="4">
        <v>27</v>
      </c>
      <c r="C115" s="3" t="s">
        <v>77</v>
      </c>
      <c r="D115" s="3" t="s">
        <v>78</v>
      </c>
      <c r="E115" s="3">
        <f>+IFERROR(VLOOKUP(A115,TB!$A$12:$C$403,2,),0)</f>
        <v>234338</v>
      </c>
      <c r="G115" s="3">
        <f t="shared" si="10"/>
        <v>234338</v>
      </c>
      <c r="H115" s="3">
        <f>+IFERROR(VLOOKUP(A115,TB!$A$12:$C$403,3,),0)</f>
        <v>0</v>
      </c>
      <c r="J115" s="3">
        <f t="shared" si="11"/>
        <v>0</v>
      </c>
      <c r="K115" s="3">
        <v>198250</v>
      </c>
      <c r="L115" s="3">
        <v>0</v>
      </c>
      <c r="M115" s="3">
        <v>198250</v>
      </c>
      <c r="N115" s="3">
        <v>0</v>
      </c>
      <c r="O115" s="3">
        <v>0</v>
      </c>
      <c r="P115" s="3">
        <v>0</v>
      </c>
    </row>
    <row r="116" spans="1:16" s="3" customFormat="1">
      <c r="A116" s="3" t="s">
        <v>93</v>
      </c>
      <c r="B116" s="4">
        <v>7</v>
      </c>
      <c r="C116" s="3" t="s">
        <v>94</v>
      </c>
      <c r="D116" s="3" t="s">
        <v>95</v>
      </c>
      <c r="E116" s="3">
        <f>+IFERROR(VLOOKUP(A116,TB!$A$12:$C$403,2,),0)</f>
        <v>230316</v>
      </c>
      <c r="G116" s="3">
        <f t="shared" si="10"/>
        <v>230316</v>
      </c>
      <c r="H116" s="3">
        <f>+IFERROR(VLOOKUP(A116,TB!$A$12:$C$403,3,),0)</f>
        <v>0</v>
      </c>
      <c r="J116" s="3">
        <f t="shared" si="11"/>
        <v>0</v>
      </c>
      <c r="K116" s="3">
        <v>68389</v>
      </c>
      <c r="L116" s="3">
        <v>0</v>
      </c>
      <c r="M116" s="3">
        <v>68389</v>
      </c>
      <c r="N116" s="3">
        <v>0</v>
      </c>
      <c r="O116" s="3">
        <v>0</v>
      </c>
      <c r="P116" s="3">
        <v>0</v>
      </c>
    </row>
    <row r="117" spans="1:16" s="3" customFormat="1">
      <c r="A117" s="3" t="s">
        <v>97</v>
      </c>
      <c r="B117" s="4">
        <v>19</v>
      </c>
      <c r="C117" s="3" t="s">
        <v>57</v>
      </c>
      <c r="D117" s="3" t="s">
        <v>96</v>
      </c>
      <c r="E117" s="3">
        <f>+IFERROR(VLOOKUP(A117,TB!$A$12:$C$403,2,),0)</f>
        <v>0</v>
      </c>
      <c r="G117" s="3">
        <f t="shared" si="10"/>
        <v>0</v>
      </c>
      <c r="H117" s="3">
        <f>+IFERROR(VLOOKUP(A117,TB!$A$12:$C$403,3,),0)</f>
        <v>0</v>
      </c>
      <c r="J117" s="3">
        <f t="shared" si="11"/>
        <v>0</v>
      </c>
      <c r="K117" s="3">
        <v>0</v>
      </c>
      <c r="L117" s="3">
        <v>0</v>
      </c>
      <c r="M117" s="3">
        <v>0</v>
      </c>
      <c r="N117" s="3">
        <v>0</v>
      </c>
      <c r="O117" s="3">
        <v>0</v>
      </c>
      <c r="P117" s="3">
        <v>0</v>
      </c>
    </row>
    <row r="118" spans="1:16" s="3" customFormat="1">
      <c r="A118" s="3" t="s">
        <v>98</v>
      </c>
      <c r="B118" s="4">
        <v>19</v>
      </c>
      <c r="C118" s="3" t="s">
        <v>57</v>
      </c>
      <c r="D118" s="3" t="s">
        <v>96</v>
      </c>
      <c r="E118" s="3">
        <f>+IFERROR(VLOOKUP(A118,TB!$A$12:$C$403,2,),0)</f>
        <v>0</v>
      </c>
      <c r="G118" s="3">
        <f t="shared" si="10"/>
        <v>0</v>
      </c>
      <c r="H118" s="3">
        <f>+IFERROR(VLOOKUP(A118,TB!$A$12:$C$403,3,),0)</f>
        <v>0</v>
      </c>
      <c r="J118" s="3">
        <f t="shared" si="11"/>
        <v>0</v>
      </c>
      <c r="K118" s="3">
        <v>0</v>
      </c>
      <c r="L118" s="3">
        <v>0</v>
      </c>
      <c r="M118" s="3">
        <v>0</v>
      </c>
      <c r="N118" s="3">
        <v>0</v>
      </c>
      <c r="O118" s="3">
        <v>0</v>
      </c>
      <c r="P118" s="3">
        <v>0</v>
      </c>
    </row>
    <row r="119" spans="1:16" s="3" customFormat="1">
      <c r="A119" s="3" t="s">
        <v>99</v>
      </c>
      <c r="B119" s="4">
        <v>6</v>
      </c>
      <c r="C119" s="3" t="s">
        <v>15</v>
      </c>
      <c r="D119" s="3" t="s">
        <v>16</v>
      </c>
      <c r="E119" s="3">
        <f>+IFERROR(VLOOKUP(A119,TB!$A$12:$C$403,2,),0)</f>
        <v>10899010</v>
      </c>
      <c r="G119" s="3">
        <f t="shared" si="10"/>
        <v>10899010</v>
      </c>
      <c r="H119" s="3">
        <f>+IFERROR(VLOOKUP(A119,TB!$A$12:$C$403,3,),0)</f>
        <v>0</v>
      </c>
      <c r="J119" s="3">
        <f t="shared" si="11"/>
        <v>0</v>
      </c>
      <c r="K119" s="3">
        <v>0</v>
      </c>
      <c r="L119" s="3">
        <v>0</v>
      </c>
      <c r="M119" s="3">
        <v>0</v>
      </c>
      <c r="N119" s="3">
        <v>0</v>
      </c>
      <c r="O119" s="3">
        <v>0</v>
      </c>
      <c r="P119" s="3">
        <v>0</v>
      </c>
    </row>
    <row r="120" spans="1:16" s="3" customFormat="1">
      <c r="A120" s="3" t="s">
        <v>100</v>
      </c>
      <c r="B120" s="4">
        <v>6</v>
      </c>
      <c r="C120" s="3" t="s">
        <v>15</v>
      </c>
      <c r="D120" s="3" t="s">
        <v>16</v>
      </c>
      <c r="E120" s="3">
        <f>+IFERROR(VLOOKUP(A120,TB!$A$12:$C$403,2,),0)</f>
        <v>305863</v>
      </c>
      <c r="G120" s="3">
        <f t="shared" si="10"/>
        <v>305863</v>
      </c>
      <c r="H120" s="3">
        <f>+IFERROR(VLOOKUP(A120,TB!$A$12:$C$403,3,),0)</f>
        <v>0</v>
      </c>
      <c r="J120" s="3">
        <f t="shared" si="11"/>
        <v>0</v>
      </c>
      <c r="K120" s="3">
        <v>9482492</v>
      </c>
      <c r="L120" s="3">
        <v>0</v>
      </c>
      <c r="M120" s="3">
        <v>9482492</v>
      </c>
      <c r="N120" s="3">
        <v>0</v>
      </c>
      <c r="O120" s="3">
        <v>0</v>
      </c>
      <c r="P120" s="3">
        <v>0</v>
      </c>
    </row>
    <row r="121" spans="1:16" s="3" customFormat="1">
      <c r="A121" s="3" t="s">
        <v>101</v>
      </c>
      <c r="B121" s="4">
        <v>23</v>
      </c>
      <c r="C121" s="3" t="s">
        <v>102</v>
      </c>
      <c r="D121" s="3" t="s">
        <v>103</v>
      </c>
      <c r="E121" s="3">
        <f>+IFERROR(VLOOKUP(A121,TB!$A$12:$C$403,2,),0)</f>
        <v>51776100</v>
      </c>
      <c r="G121" s="3">
        <f t="shared" si="10"/>
        <v>51776100</v>
      </c>
      <c r="H121" s="3">
        <f>+IFERROR(VLOOKUP(A121,TB!$A$12:$C$403,3,),0)</f>
        <v>0</v>
      </c>
      <c r="J121" s="3">
        <f t="shared" si="11"/>
        <v>0</v>
      </c>
      <c r="K121" s="3">
        <v>48786325</v>
      </c>
      <c r="L121" s="3">
        <v>0</v>
      </c>
      <c r="M121" s="3">
        <v>48786325</v>
      </c>
      <c r="N121" s="3">
        <v>0</v>
      </c>
      <c r="O121" s="3">
        <v>0</v>
      </c>
      <c r="P121" s="3">
        <v>0</v>
      </c>
    </row>
    <row r="122" spans="1:16" s="3" customFormat="1">
      <c r="A122" s="3" t="s">
        <v>2761</v>
      </c>
      <c r="B122" s="4">
        <v>23</v>
      </c>
      <c r="C122" s="3" t="s">
        <v>102</v>
      </c>
      <c r="D122" s="3" t="s">
        <v>103</v>
      </c>
      <c r="E122" s="3">
        <f>+IFERROR(VLOOKUP(A122,TB!$A$12:$C$403,2,),0)</f>
        <v>2760009</v>
      </c>
      <c r="G122" s="3">
        <f t="shared" si="10"/>
        <v>2760009</v>
      </c>
      <c r="H122" s="3">
        <f>+IFERROR(VLOOKUP(A122,TB!$A$12:$C$403,3,),0)</f>
        <v>0</v>
      </c>
      <c r="J122" s="3">
        <f t="shared" si="11"/>
        <v>0</v>
      </c>
      <c r="K122" s="3">
        <v>0</v>
      </c>
      <c r="L122" s="3">
        <v>0</v>
      </c>
      <c r="M122" s="3">
        <v>0</v>
      </c>
      <c r="N122" s="3">
        <v>0</v>
      </c>
      <c r="O122" s="3">
        <v>0</v>
      </c>
      <c r="P122" s="3">
        <v>0</v>
      </c>
    </row>
    <row r="123" spans="1:16" s="3" customFormat="1">
      <c r="A123" s="3" t="s">
        <v>104</v>
      </c>
      <c r="B123" s="4">
        <v>6</v>
      </c>
      <c r="C123" s="3" t="s">
        <v>15</v>
      </c>
      <c r="D123" s="3" t="s">
        <v>16</v>
      </c>
      <c r="E123" s="3">
        <f>+IFERROR(VLOOKUP(A123,TB!$A$12:$C$403,2,),0)</f>
        <v>456870</v>
      </c>
      <c r="G123" s="3">
        <f t="shared" si="10"/>
        <v>456870</v>
      </c>
      <c r="H123" s="3">
        <f>+IFERROR(VLOOKUP(A123,TB!$A$12:$C$403,3,),0)</f>
        <v>0</v>
      </c>
      <c r="J123" s="3">
        <f t="shared" si="11"/>
        <v>0</v>
      </c>
      <c r="K123" s="3">
        <v>0</v>
      </c>
      <c r="L123" s="3">
        <v>0</v>
      </c>
      <c r="M123" s="3">
        <v>0</v>
      </c>
      <c r="N123" s="3">
        <v>0</v>
      </c>
      <c r="O123" s="3">
        <v>0</v>
      </c>
      <c r="P123" s="3">
        <v>0</v>
      </c>
    </row>
    <row r="124" spans="1:16" s="3" customFormat="1">
      <c r="A124" s="3" t="s">
        <v>105</v>
      </c>
      <c r="B124" s="4">
        <v>17</v>
      </c>
      <c r="C124" s="3" t="s">
        <v>10</v>
      </c>
      <c r="D124" s="3" t="s">
        <v>10</v>
      </c>
      <c r="E124" s="3">
        <f>+IFERROR(VLOOKUP(A124,TB!$A$12:$C$403,2,),0)</f>
        <v>0</v>
      </c>
      <c r="G124" s="3">
        <f t="shared" si="10"/>
        <v>0</v>
      </c>
      <c r="H124" s="3">
        <f>+IFERROR(VLOOKUP(A124,TB!$A$12:$C$403,3,),0)</f>
        <v>0</v>
      </c>
      <c r="J124" s="3">
        <f t="shared" si="11"/>
        <v>0</v>
      </c>
      <c r="K124" s="3">
        <v>0</v>
      </c>
      <c r="L124" s="3">
        <v>0</v>
      </c>
      <c r="M124" s="3">
        <v>0</v>
      </c>
      <c r="N124" s="3">
        <v>0</v>
      </c>
      <c r="O124" s="3">
        <v>0</v>
      </c>
      <c r="P124" s="3">
        <v>0</v>
      </c>
    </row>
    <row r="125" spans="1:16" s="3" customFormat="1">
      <c r="A125" s="3" t="s">
        <v>106</v>
      </c>
      <c r="B125" s="4">
        <v>23</v>
      </c>
      <c r="C125" s="3" t="s">
        <v>102</v>
      </c>
      <c r="D125" s="3" t="s">
        <v>103</v>
      </c>
      <c r="E125" s="3">
        <f>+IFERROR(VLOOKUP(A125,TB!$A$12:$C$403,2,),0)</f>
        <v>42501627</v>
      </c>
      <c r="G125" s="3">
        <f t="shared" si="10"/>
        <v>42501627</v>
      </c>
      <c r="H125" s="3">
        <f>+IFERROR(VLOOKUP(A125,TB!$A$12:$C$403,3,),0)</f>
        <v>0</v>
      </c>
      <c r="J125" s="3">
        <f t="shared" si="11"/>
        <v>0</v>
      </c>
      <c r="K125" s="3">
        <v>21589538</v>
      </c>
      <c r="L125" s="3">
        <v>0</v>
      </c>
      <c r="M125" s="3">
        <v>21589538</v>
      </c>
      <c r="N125" s="3">
        <v>0</v>
      </c>
      <c r="O125" s="3">
        <v>0</v>
      </c>
      <c r="P125" s="3">
        <v>0</v>
      </c>
    </row>
    <row r="126" spans="1:16" s="3" customFormat="1">
      <c r="A126" s="3" t="s">
        <v>108</v>
      </c>
      <c r="B126" s="4">
        <v>27</v>
      </c>
      <c r="C126" s="3" t="s">
        <v>77</v>
      </c>
      <c r="D126" s="3" t="s">
        <v>107</v>
      </c>
      <c r="E126" s="3">
        <f>+IFERROR(VLOOKUP(A126,TB!$A$12:$C$403,2,),0)</f>
        <v>39341063.259999998</v>
      </c>
      <c r="G126" s="3">
        <f t="shared" ref="G126:G168" si="12">+E126+F126</f>
        <v>39341063.259999998</v>
      </c>
      <c r="H126" s="3">
        <f>+IFERROR(VLOOKUP(A126,TB!$A$12:$C$403,3,),0)</f>
        <v>0</v>
      </c>
      <c r="J126" s="3">
        <f t="shared" ref="J126:J168" si="13">+H126+I126</f>
        <v>0</v>
      </c>
      <c r="K126" s="3">
        <v>39844498.340000004</v>
      </c>
      <c r="L126" s="3">
        <v>0</v>
      </c>
      <c r="M126" s="3">
        <v>39844498.340000004</v>
      </c>
      <c r="N126" s="3">
        <v>0</v>
      </c>
      <c r="O126" s="3">
        <v>0</v>
      </c>
      <c r="P126" s="3">
        <v>0</v>
      </c>
    </row>
    <row r="127" spans="1:16" s="3" customFormat="1">
      <c r="A127" s="3" t="s">
        <v>109</v>
      </c>
      <c r="B127" s="4">
        <v>2</v>
      </c>
      <c r="C127" s="3" t="s">
        <v>82</v>
      </c>
      <c r="D127" s="3" t="s">
        <v>83</v>
      </c>
      <c r="E127" s="3">
        <f>+IFERROR(VLOOKUP(A127,TB!$A$12:$C$403,2,),0)</f>
        <v>898435.7</v>
      </c>
      <c r="G127" s="3">
        <f t="shared" si="12"/>
        <v>898435.7</v>
      </c>
      <c r="H127" s="3">
        <f>+IFERROR(VLOOKUP(A127,TB!$A$12:$C$403,3,),0)</f>
        <v>0</v>
      </c>
      <c r="J127" s="3">
        <f t="shared" si="13"/>
        <v>0</v>
      </c>
      <c r="K127" s="3">
        <v>868635.7</v>
      </c>
      <c r="L127" s="3">
        <v>0</v>
      </c>
      <c r="M127" s="3">
        <v>868635.7</v>
      </c>
      <c r="N127" s="3">
        <v>0</v>
      </c>
      <c r="O127" s="3">
        <v>0</v>
      </c>
      <c r="P127" s="3">
        <v>0</v>
      </c>
    </row>
    <row r="128" spans="1:16" s="3" customFormat="1">
      <c r="A128" s="3" t="s">
        <v>110</v>
      </c>
      <c r="B128" s="4">
        <v>27</v>
      </c>
      <c r="C128" s="3" t="s">
        <v>51</v>
      </c>
      <c r="D128" s="3" t="s">
        <v>111</v>
      </c>
      <c r="E128" s="3">
        <f>+IFERROR(VLOOKUP(A128,TB!$A$12:$C$403,2,),0)</f>
        <v>7000</v>
      </c>
      <c r="G128" s="3">
        <f t="shared" si="12"/>
        <v>7000</v>
      </c>
      <c r="H128" s="3">
        <f>+IFERROR(VLOOKUP(A128,TB!$A$12:$C$403,3,),0)</f>
        <v>0</v>
      </c>
      <c r="J128" s="3">
        <f t="shared" si="13"/>
        <v>0</v>
      </c>
      <c r="K128" s="3">
        <v>14524</v>
      </c>
      <c r="L128" s="3">
        <v>0</v>
      </c>
      <c r="M128" s="3">
        <v>14524</v>
      </c>
      <c r="N128" s="3">
        <v>0</v>
      </c>
      <c r="O128" s="3">
        <v>0</v>
      </c>
      <c r="P128" s="3">
        <v>0</v>
      </c>
    </row>
    <row r="129" spans="1:16" s="3" customFormat="1">
      <c r="A129" s="3" t="s">
        <v>112</v>
      </c>
      <c r="B129" s="4">
        <v>10</v>
      </c>
      <c r="C129" s="3" t="s">
        <v>34</v>
      </c>
      <c r="D129" s="3" t="s">
        <v>35</v>
      </c>
      <c r="E129" s="3">
        <f>+IFERROR(VLOOKUP(A129,TB!$A$12:$C$403,2,),0)</f>
        <v>302862</v>
      </c>
      <c r="G129" s="3">
        <f t="shared" si="12"/>
        <v>302862</v>
      </c>
      <c r="H129" s="3">
        <f>+IFERROR(VLOOKUP(A129,TB!$A$12:$C$403,3,),0)</f>
        <v>0</v>
      </c>
      <c r="J129" s="3">
        <f t="shared" si="13"/>
        <v>0</v>
      </c>
      <c r="K129" s="3">
        <v>0</v>
      </c>
      <c r="L129" s="3">
        <v>0</v>
      </c>
      <c r="M129" s="3">
        <v>0</v>
      </c>
      <c r="N129" s="3">
        <v>0</v>
      </c>
      <c r="O129" s="3">
        <v>0</v>
      </c>
      <c r="P129" s="3">
        <v>0</v>
      </c>
    </row>
    <row r="130" spans="1:16" s="3" customFormat="1">
      <c r="A130" s="3" t="s">
        <v>113</v>
      </c>
      <c r="B130" s="4">
        <v>19</v>
      </c>
      <c r="C130" s="3" t="s">
        <v>57</v>
      </c>
      <c r="D130" s="3" t="s">
        <v>114</v>
      </c>
      <c r="E130" s="3">
        <f>+IFERROR(VLOOKUP(A130,TB!$A$12:$C$403,2,),0)</f>
        <v>0</v>
      </c>
      <c r="G130" s="3">
        <f t="shared" si="12"/>
        <v>0</v>
      </c>
      <c r="H130" s="3">
        <f>+IFERROR(VLOOKUP(A130,TB!$A$12:$C$403,3,),0)</f>
        <v>23072</v>
      </c>
      <c r="J130" s="3">
        <f t="shared" si="13"/>
        <v>23072</v>
      </c>
      <c r="K130" s="3">
        <v>0</v>
      </c>
      <c r="L130" s="3">
        <v>0</v>
      </c>
      <c r="M130" s="3">
        <v>0</v>
      </c>
      <c r="N130" s="3">
        <v>22944</v>
      </c>
      <c r="O130" s="3">
        <v>0</v>
      </c>
      <c r="P130" s="3">
        <v>22944</v>
      </c>
    </row>
    <row r="131" spans="1:16" s="3" customFormat="1">
      <c r="A131" s="3" t="s">
        <v>115</v>
      </c>
      <c r="B131" s="4">
        <v>19</v>
      </c>
      <c r="C131" s="3" t="s">
        <v>57</v>
      </c>
      <c r="D131" s="3" t="s">
        <v>114</v>
      </c>
      <c r="E131" s="3">
        <f>+IFERROR(VLOOKUP(A131,TB!$A$12:$C$403,2,),0)</f>
        <v>0</v>
      </c>
      <c r="G131" s="3">
        <f t="shared" si="12"/>
        <v>0</v>
      </c>
      <c r="H131" s="3">
        <f>+IFERROR(VLOOKUP(A131,TB!$A$12:$C$403,3,),0)</f>
        <v>202410</v>
      </c>
      <c r="J131" s="3">
        <f t="shared" si="13"/>
        <v>202410</v>
      </c>
      <c r="K131" s="3">
        <v>0</v>
      </c>
      <c r="L131" s="3">
        <v>0</v>
      </c>
      <c r="M131" s="3">
        <v>0</v>
      </c>
      <c r="N131" s="3">
        <v>198784</v>
      </c>
      <c r="O131" s="3">
        <v>0</v>
      </c>
      <c r="P131" s="3">
        <v>198784</v>
      </c>
    </row>
    <row r="132" spans="1:16" s="3" customFormat="1">
      <c r="A132" s="3" t="s">
        <v>116</v>
      </c>
      <c r="B132" s="4">
        <v>27</v>
      </c>
      <c r="C132" s="3" t="s">
        <v>51</v>
      </c>
      <c r="D132" s="3" t="s">
        <v>117</v>
      </c>
      <c r="E132" s="3">
        <f>+IFERROR(VLOOKUP(A132,TB!$A$12:$C$403,2,),0)</f>
        <v>59948</v>
      </c>
      <c r="G132" s="3">
        <f t="shared" si="12"/>
        <v>59948</v>
      </c>
      <c r="H132" s="3">
        <f>+IFERROR(VLOOKUP(A132,TB!$A$12:$C$403,3,),0)</f>
        <v>0</v>
      </c>
      <c r="J132" s="3">
        <f t="shared" si="13"/>
        <v>0</v>
      </c>
      <c r="K132" s="3">
        <v>29522</v>
      </c>
      <c r="L132" s="3">
        <v>0</v>
      </c>
      <c r="M132" s="3">
        <v>29522</v>
      </c>
      <c r="N132" s="3">
        <v>0</v>
      </c>
      <c r="O132" s="3">
        <v>0</v>
      </c>
      <c r="P132" s="3">
        <v>0</v>
      </c>
    </row>
    <row r="133" spans="1:16" s="3" customFormat="1">
      <c r="A133" s="3" t="s">
        <v>118</v>
      </c>
      <c r="B133" s="4">
        <v>27</v>
      </c>
      <c r="C133" s="3" t="s">
        <v>51</v>
      </c>
      <c r="D133" s="3" t="s">
        <v>117</v>
      </c>
      <c r="E133" s="3">
        <f>+IFERROR(VLOOKUP(A133,TB!$A$12:$C$403,2,),0)</f>
        <v>32087</v>
      </c>
      <c r="G133" s="3">
        <f t="shared" si="12"/>
        <v>32087</v>
      </c>
      <c r="H133" s="3">
        <f>+IFERROR(VLOOKUP(A133,TB!$A$12:$C$403,3,),0)</f>
        <v>0</v>
      </c>
      <c r="J133" s="3">
        <f t="shared" si="13"/>
        <v>0</v>
      </c>
      <c r="K133" s="3">
        <v>21062</v>
      </c>
      <c r="L133" s="3">
        <v>0</v>
      </c>
      <c r="M133" s="3">
        <v>21062</v>
      </c>
      <c r="N133" s="3">
        <v>0</v>
      </c>
      <c r="O133" s="3">
        <v>0</v>
      </c>
      <c r="P133" s="3">
        <v>0</v>
      </c>
    </row>
    <row r="134" spans="1:16" s="3" customFormat="1">
      <c r="A134" s="3" t="s">
        <v>119</v>
      </c>
      <c r="B134" s="4">
        <v>6</v>
      </c>
      <c r="C134" s="3" t="s">
        <v>15</v>
      </c>
      <c r="D134" s="3" t="s">
        <v>16</v>
      </c>
      <c r="E134" s="3">
        <f>+IFERROR(VLOOKUP(A134,TB!$A$12:$C$403,2,),0)</f>
        <v>0</v>
      </c>
      <c r="G134" s="3">
        <f t="shared" si="12"/>
        <v>0</v>
      </c>
      <c r="H134" s="3">
        <f>+IFERROR(VLOOKUP(A134,TB!$A$12:$C$403,3,),0)</f>
        <v>0</v>
      </c>
      <c r="J134" s="3">
        <f t="shared" si="13"/>
        <v>0</v>
      </c>
      <c r="K134" s="3">
        <v>344368</v>
      </c>
      <c r="L134" s="3">
        <v>0</v>
      </c>
      <c r="M134" s="3">
        <v>344368</v>
      </c>
      <c r="N134" s="3">
        <v>0</v>
      </c>
      <c r="O134" s="3">
        <v>0</v>
      </c>
      <c r="P134" s="3">
        <v>0</v>
      </c>
    </row>
    <row r="135" spans="1:16" s="3" customFormat="1">
      <c r="A135" s="3" t="s">
        <v>120</v>
      </c>
      <c r="B135" s="4">
        <v>27</v>
      </c>
      <c r="C135" s="3" t="s">
        <v>51</v>
      </c>
      <c r="D135" s="3" t="s">
        <v>52</v>
      </c>
      <c r="E135" s="3">
        <f>+IFERROR(VLOOKUP(A135,TB!$A$12:$C$403,2,),0)</f>
        <v>64117</v>
      </c>
      <c r="G135" s="3">
        <f t="shared" si="12"/>
        <v>64117</v>
      </c>
      <c r="H135" s="3">
        <f>+IFERROR(VLOOKUP(A135,TB!$A$12:$C$403,3,),0)</f>
        <v>0</v>
      </c>
      <c r="J135" s="3">
        <f t="shared" si="13"/>
        <v>0</v>
      </c>
      <c r="K135" s="3">
        <v>72553</v>
      </c>
      <c r="L135" s="3">
        <v>0</v>
      </c>
      <c r="M135" s="3">
        <v>72553</v>
      </c>
      <c r="N135" s="3">
        <v>0</v>
      </c>
      <c r="O135" s="3">
        <v>0</v>
      </c>
      <c r="P135" s="3">
        <v>0</v>
      </c>
    </row>
    <row r="136" spans="1:16" s="3" customFormat="1">
      <c r="A136" s="3" t="s">
        <v>121</v>
      </c>
      <c r="B136" s="4">
        <v>27</v>
      </c>
      <c r="C136" s="3" t="s">
        <v>51</v>
      </c>
      <c r="D136" s="3" t="s">
        <v>52</v>
      </c>
      <c r="E136" s="3">
        <f>+IFERROR(VLOOKUP(A136,TB!$A$12:$C$403,2,),0)</f>
        <v>0</v>
      </c>
      <c r="G136" s="3">
        <f t="shared" si="12"/>
        <v>0</v>
      </c>
      <c r="H136" s="3">
        <f>+IFERROR(VLOOKUP(A136,TB!$A$12:$C$403,3,),0)</f>
        <v>0</v>
      </c>
      <c r="J136" s="3">
        <f t="shared" si="13"/>
        <v>0</v>
      </c>
      <c r="K136" s="3">
        <v>178418</v>
      </c>
      <c r="L136" s="3">
        <v>0</v>
      </c>
      <c r="M136" s="3">
        <v>178418</v>
      </c>
      <c r="N136" s="3">
        <v>0</v>
      </c>
      <c r="O136" s="3">
        <v>0</v>
      </c>
      <c r="P136" s="3">
        <v>0</v>
      </c>
    </row>
    <row r="137" spans="1:16" s="3" customFormat="1">
      <c r="A137" s="3" t="s">
        <v>123</v>
      </c>
      <c r="B137" s="4">
        <v>17</v>
      </c>
      <c r="C137" s="3" t="s">
        <v>10</v>
      </c>
      <c r="D137" s="3" t="s">
        <v>10</v>
      </c>
      <c r="E137" s="3">
        <f>+IFERROR(VLOOKUP(A137,TB!$A$12:$C$403,2,),0)</f>
        <v>0</v>
      </c>
      <c r="G137" s="3">
        <f t="shared" si="12"/>
        <v>0</v>
      </c>
      <c r="H137" s="3">
        <f>+IFERROR(VLOOKUP(A137,TB!$A$12:$C$403,3,),0)</f>
        <v>7452127</v>
      </c>
      <c r="J137" s="3">
        <f t="shared" si="13"/>
        <v>7452127</v>
      </c>
      <c r="K137" s="3">
        <v>0</v>
      </c>
      <c r="L137" s="3">
        <v>0</v>
      </c>
      <c r="M137" s="3">
        <v>0</v>
      </c>
      <c r="N137" s="3">
        <v>0</v>
      </c>
      <c r="O137" s="3">
        <v>0</v>
      </c>
      <c r="P137" s="3">
        <v>0</v>
      </c>
    </row>
    <row r="138" spans="1:16" s="3" customFormat="1">
      <c r="A138" s="3" t="s">
        <v>124</v>
      </c>
      <c r="B138" s="4">
        <v>15</v>
      </c>
      <c r="C138" s="3" t="s">
        <v>125</v>
      </c>
      <c r="D138" s="3" t="s">
        <v>126</v>
      </c>
      <c r="E138" s="3">
        <f>+IFERROR(VLOOKUP(A138,TB!$A$12:$C$403,2,),0)</f>
        <v>0</v>
      </c>
      <c r="G138" s="3">
        <f t="shared" si="12"/>
        <v>0</v>
      </c>
      <c r="H138" s="3">
        <f>+IFERROR(VLOOKUP(A138,TB!$A$12:$C$403,3,),0)</f>
        <v>16151130</v>
      </c>
      <c r="J138" s="3">
        <f t="shared" si="13"/>
        <v>16151130</v>
      </c>
      <c r="K138" s="3">
        <v>0</v>
      </c>
      <c r="L138" s="3">
        <v>0</v>
      </c>
      <c r="M138" s="3">
        <v>0</v>
      </c>
      <c r="N138" s="3">
        <v>19475121</v>
      </c>
      <c r="O138" s="3">
        <v>0</v>
      </c>
      <c r="P138" s="3">
        <v>19475121</v>
      </c>
    </row>
    <row r="139" spans="1:16" s="3" customFormat="1">
      <c r="A139" s="3" t="s">
        <v>127</v>
      </c>
      <c r="B139" s="4">
        <v>4</v>
      </c>
      <c r="C139" s="3" t="s">
        <v>24</v>
      </c>
      <c r="D139" s="3" t="s">
        <v>129</v>
      </c>
      <c r="E139" s="3">
        <f>+IFERROR(VLOOKUP(A139,TB!$A$12:$C$403,2,),0)</f>
        <v>1153920</v>
      </c>
      <c r="G139" s="3">
        <f t="shared" si="12"/>
        <v>1153920</v>
      </c>
      <c r="H139" s="3">
        <f>+IFERROR(VLOOKUP(A139,TB!$A$12:$C$403,3,),0)</f>
        <v>0</v>
      </c>
      <c r="J139" s="3">
        <f t="shared" si="13"/>
        <v>0</v>
      </c>
      <c r="K139" s="3">
        <v>0</v>
      </c>
      <c r="L139" s="3">
        <v>0</v>
      </c>
      <c r="M139" s="3">
        <v>0</v>
      </c>
      <c r="N139" s="3">
        <v>0</v>
      </c>
      <c r="O139" s="3">
        <v>0</v>
      </c>
      <c r="P139" s="3">
        <v>0</v>
      </c>
    </row>
    <row r="140" spans="1:16" s="3" customFormat="1">
      <c r="A140" s="3" t="s">
        <v>128</v>
      </c>
      <c r="B140" s="4">
        <v>4</v>
      </c>
      <c r="C140" s="3" t="s">
        <v>24</v>
      </c>
      <c r="D140" s="3" t="s">
        <v>129</v>
      </c>
      <c r="E140" s="3">
        <f>+IFERROR(VLOOKUP(A140,TB!$A$12:$C$403,2,),0)</f>
        <v>6800</v>
      </c>
      <c r="G140" s="3">
        <f t="shared" si="12"/>
        <v>6800</v>
      </c>
      <c r="H140" s="3">
        <f>+IFERROR(VLOOKUP(A140,TB!$A$12:$C$403,3,),0)</f>
        <v>0</v>
      </c>
      <c r="J140" s="3">
        <f t="shared" si="13"/>
        <v>0</v>
      </c>
      <c r="K140" s="3">
        <v>6800</v>
      </c>
      <c r="L140" s="3">
        <v>0</v>
      </c>
      <c r="M140" s="3">
        <v>6800</v>
      </c>
      <c r="N140" s="3">
        <v>0</v>
      </c>
      <c r="O140" s="3">
        <v>0</v>
      </c>
      <c r="P140" s="3">
        <v>0</v>
      </c>
    </row>
    <row r="141" spans="1:16" s="3" customFormat="1">
      <c r="A141" s="3" t="s">
        <v>132</v>
      </c>
      <c r="B141" s="4">
        <v>3</v>
      </c>
      <c r="C141" s="3" t="s">
        <v>130</v>
      </c>
      <c r="D141" s="3" t="s">
        <v>131</v>
      </c>
      <c r="E141" s="3">
        <f>+IFERROR(VLOOKUP(A141,TB!$A$12:$C$403,2,),0)</f>
        <v>225820</v>
      </c>
      <c r="G141" s="3">
        <f t="shared" si="12"/>
        <v>225820</v>
      </c>
      <c r="H141" s="3">
        <f>+IFERROR(VLOOKUP(A141,TB!$A$12:$C$403,3,),0)</f>
        <v>0</v>
      </c>
      <c r="J141" s="3">
        <f t="shared" si="13"/>
        <v>0</v>
      </c>
      <c r="K141" s="3">
        <v>215314.61</v>
      </c>
      <c r="L141" s="3">
        <v>0</v>
      </c>
      <c r="M141" s="3">
        <v>215314.61</v>
      </c>
      <c r="N141" s="3">
        <v>0</v>
      </c>
      <c r="O141" s="3">
        <v>0</v>
      </c>
      <c r="P141" s="3">
        <v>0</v>
      </c>
    </row>
    <row r="142" spans="1:16" s="3" customFormat="1">
      <c r="A142" s="3" t="s">
        <v>133</v>
      </c>
      <c r="B142" s="4">
        <v>4</v>
      </c>
      <c r="C142" s="3" t="s">
        <v>24</v>
      </c>
      <c r="D142" s="3" t="s">
        <v>129</v>
      </c>
      <c r="E142" s="3">
        <f>+IFERROR(VLOOKUP(A142,TB!$A$12:$C$403,2,),0)</f>
        <v>250000</v>
      </c>
      <c r="G142" s="3">
        <f t="shared" si="12"/>
        <v>250000</v>
      </c>
      <c r="H142" s="3">
        <f>+IFERROR(VLOOKUP(A142,TB!$A$12:$C$403,3,),0)</f>
        <v>0</v>
      </c>
      <c r="J142" s="3">
        <f t="shared" si="13"/>
        <v>0</v>
      </c>
      <c r="K142" s="3">
        <v>50000</v>
      </c>
      <c r="L142" s="3">
        <v>0</v>
      </c>
      <c r="M142" s="3">
        <v>50000</v>
      </c>
      <c r="N142" s="3">
        <v>0</v>
      </c>
      <c r="O142" s="3">
        <v>0</v>
      </c>
      <c r="P142" s="3">
        <v>0</v>
      </c>
    </row>
    <row r="143" spans="1:16" s="3" customFormat="1">
      <c r="A143" s="3" t="s">
        <v>134</v>
      </c>
      <c r="B143" s="4">
        <v>4</v>
      </c>
      <c r="C143" s="3" t="s">
        <v>24</v>
      </c>
      <c r="D143" s="3" t="s">
        <v>129</v>
      </c>
      <c r="E143" s="3">
        <f>+IFERROR(VLOOKUP(A143,TB!$A$12:$C$403,2,),0)</f>
        <v>3522100</v>
      </c>
      <c r="G143" s="3">
        <f t="shared" si="12"/>
        <v>3522100</v>
      </c>
      <c r="H143" s="3">
        <f>+IFERROR(VLOOKUP(A143,TB!$A$12:$C$403,3,),0)</f>
        <v>0</v>
      </c>
      <c r="J143" s="3">
        <f t="shared" si="13"/>
        <v>0</v>
      </c>
      <c r="K143" s="3">
        <v>322100</v>
      </c>
      <c r="L143" s="3">
        <v>0</v>
      </c>
      <c r="M143" s="3">
        <v>322100</v>
      </c>
      <c r="N143" s="3">
        <v>0</v>
      </c>
      <c r="O143" s="3">
        <v>0</v>
      </c>
      <c r="P143" s="3">
        <v>0</v>
      </c>
    </row>
    <row r="144" spans="1:16" s="3" customFormat="1">
      <c r="A144" s="3" t="s">
        <v>135</v>
      </c>
      <c r="B144" s="4">
        <v>3</v>
      </c>
      <c r="C144" s="3" t="s">
        <v>130</v>
      </c>
      <c r="D144" s="3" t="s">
        <v>131</v>
      </c>
      <c r="E144" s="3">
        <f>+IFERROR(VLOOKUP(A144,TB!$A$12:$C$403,2,),0)</f>
        <v>150294</v>
      </c>
      <c r="G144" s="3">
        <f t="shared" si="12"/>
        <v>150294</v>
      </c>
      <c r="H144" s="3">
        <f>+IFERROR(VLOOKUP(A144,TB!$A$12:$C$403,3,),0)</f>
        <v>0</v>
      </c>
      <c r="J144" s="3">
        <f t="shared" si="13"/>
        <v>0</v>
      </c>
      <c r="K144" s="3">
        <v>150294</v>
      </c>
      <c r="L144" s="3">
        <v>0</v>
      </c>
      <c r="M144" s="3">
        <v>150294</v>
      </c>
      <c r="N144" s="3">
        <v>0</v>
      </c>
      <c r="O144" s="3">
        <v>0</v>
      </c>
      <c r="P144" s="3">
        <v>0</v>
      </c>
    </row>
    <row r="145" spans="1:16" s="3" customFormat="1">
      <c r="A145" s="3" t="s">
        <v>136</v>
      </c>
      <c r="B145" s="4">
        <v>4</v>
      </c>
      <c r="C145" s="3" t="s">
        <v>24</v>
      </c>
      <c r="D145" s="3" t="s">
        <v>129</v>
      </c>
      <c r="E145" s="3">
        <f>+IFERROR(VLOOKUP(A145,TB!$A$12:$C$403,2,),0)</f>
        <v>200000</v>
      </c>
      <c r="G145" s="3">
        <f t="shared" si="12"/>
        <v>200000</v>
      </c>
      <c r="H145" s="3">
        <f>+IFERROR(VLOOKUP(A145,TB!$A$12:$C$403,3,),0)</f>
        <v>0</v>
      </c>
      <c r="J145" s="3">
        <f t="shared" si="13"/>
        <v>0</v>
      </c>
      <c r="K145" s="3">
        <v>200000</v>
      </c>
      <c r="L145" s="3">
        <v>0</v>
      </c>
      <c r="M145" s="3">
        <v>200000</v>
      </c>
      <c r="N145" s="3">
        <v>0</v>
      </c>
      <c r="O145" s="3">
        <v>0</v>
      </c>
      <c r="P145" s="3">
        <v>0</v>
      </c>
    </row>
    <row r="146" spans="1:16" s="3" customFormat="1">
      <c r="A146" s="3" t="s">
        <v>137</v>
      </c>
      <c r="B146" s="4">
        <v>4</v>
      </c>
      <c r="C146" s="3" t="s">
        <v>24</v>
      </c>
      <c r="D146" s="3" t="s">
        <v>129</v>
      </c>
      <c r="E146" s="3">
        <f>+IFERROR(VLOOKUP(A146,TB!$A$12:$C$403,2,),0)</f>
        <v>10777</v>
      </c>
      <c r="G146" s="3">
        <f t="shared" si="12"/>
        <v>10777</v>
      </c>
      <c r="H146" s="3">
        <f>+IFERROR(VLOOKUP(A146,TB!$A$12:$C$403,3,),0)</f>
        <v>0</v>
      </c>
      <c r="J146" s="3">
        <f t="shared" si="13"/>
        <v>0</v>
      </c>
      <c r="K146" s="3">
        <v>10777</v>
      </c>
      <c r="L146" s="3">
        <v>0</v>
      </c>
      <c r="M146" s="3">
        <v>10777</v>
      </c>
      <c r="N146" s="3">
        <v>0</v>
      </c>
      <c r="O146" s="3">
        <v>0</v>
      </c>
      <c r="P146" s="3">
        <v>0</v>
      </c>
    </row>
    <row r="147" spans="1:16" s="3" customFormat="1">
      <c r="A147" s="5" t="s">
        <v>140</v>
      </c>
      <c r="B147" s="4">
        <v>14</v>
      </c>
      <c r="C147" s="3" t="s">
        <v>138</v>
      </c>
      <c r="D147" s="3" t="s">
        <v>139</v>
      </c>
      <c r="E147" s="3">
        <f>+IFERROR(VLOOKUP(A147,TB!$A$12:$C$403,2,),0)</f>
        <v>453851</v>
      </c>
      <c r="G147" s="3">
        <f t="shared" si="12"/>
        <v>453851</v>
      </c>
      <c r="H147" s="3">
        <f>+IFERROR(VLOOKUP(A147,TB!$A$12:$C$403,3,),0)</f>
        <v>0</v>
      </c>
      <c r="J147" s="3">
        <f t="shared" si="13"/>
        <v>0</v>
      </c>
      <c r="K147" s="3">
        <v>277472</v>
      </c>
      <c r="L147" s="3">
        <v>0</v>
      </c>
      <c r="M147" s="3">
        <v>277472</v>
      </c>
      <c r="N147" s="3">
        <v>0</v>
      </c>
      <c r="O147" s="3">
        <v>0</v>
      </c>
      <c r="P147" s="3">
        <v>0</v>
      </c>
    </row>
    <row r="148" spans="1:16" s="3" customFormat="1">
      <c r="A148" s="5" t="s">
        <v>141</v>
      </c>
      <c r="B148" s="4">
        <v>14</v>
      </c>
      <c r="C148" s="3" t="s">
        <v>138</v>
      </c>
      <c r="D148" s="3" t="s">
        <v>139</v>
      </c>
      <c r="E148" s="3">
        <f>+IFERROR(VLOOKUP(A148,TB!$A$12:$C$403,2,),0)</f>
        <v>5073205</v>
      </c>
      <c r="G148" s="3">
        <f t="shared" si="12"/>
        <v>5073205</v>
      </c>
      <c r="H148" s="3">
        <f>+IFERROR(VLOOKUP(A148,TB!$A$12:$C$403,3,),0)</f>
        <v>0</v>
      </c>
      <c r="J148" s="3">
        <f t="shared" si="13"/>
        <v>0</v>
      </c>
      <c r="K148" s="3">
        <v>4984821</v>
      </c>
      <c r="L148" s="3">
        <v>0</v>
      </c>
      <c r="M148" s="3">
        <v>4984821</v>
      </c>
      <c r="N148" s="3">
        <v>0</v>
      </c>
      <c r="O148" s="3">
        <v>0</v>
      </c>
      <c r="P148" s="3">
        <v>0</v>
      </c>
    </row>
    <row r="149" spans="1:16" s="3" customFormat="1">
      <c r="A149" s="3" t="s">
        <v>142</v>
      </c>
      <c r="B149" s="4"/>
      <c r="C149" s="3" t="s">
        <v>143</v>
      </c>
      <c r="D149" s="3" t="s">
        <v>144</v>
      </c>
      <c r="E149" s="3">
        <f>+IFERROR(VLOOKUP(A149,TB!$A$12:$C$403,2,),0)</f>
        <v>1857088</v>
      </c>
      <c r="G149" s="3">
        <f t="shared" si="12"/>
        <v>1857088</v>
      </c>
      <c r="H149" s="3">
        <f>+IFERROR(VLOOKUP(A149,TB!$A$12:$C$403,3,),0)</f>
        <v>0</v>
      </c>
      <c r="J149" s="3">
        <f t="shared" si="13"/>
        <v>0</v>
      </c>
      <c r="K149" s="3">
        <v>1850243</v>
      </c>
      <c r="L149" s="3">
        <v>0</v>
      </c>
      <c r="M149" s="3">
        <v>1850243</v>
      </c>
      <c r="N149" s="3">
        <v>0</v>
      </c>
      <c r="O149" s="3">
        <v>0</v>
      </c>
      <c r="P149" s="3">
        <v>0</v>
      </c>
    </row>
    <row r="150" spans="1:16" s="3" customFormat="1">
      <c r="A150" s="3" t="s">
        <v>145</v>
      </c>
      <c r="B150" s="4"/>
      <c r="C150" s="3" t="s">
        <v>143</v>
      </c>
      <c r="D150" s="3" t="s">
        <v>144</v>
      </c>
      <c r="E150" s="3">
        <f>+IFERROR(VLOOKUP(A150,TB!$A$12:$C$403,2,),0)</f>
        <v>1989109</v>
      </c>
      <c r="G150" s="3">
        <f t="shared" si="12"/>
        <v>1989109</v>
      </c>
      <c r="H150" s="3">
        <f>+IFERROR(VLOOKUP(A150,TB!$A$12:$C$403,3,),0)</f>
        <v>0</v>
      </c>
      <c r="J150" s="3">
        <f t="shared" si="13"/>
        <v>0</v>
      </c>
      <c r="K150" s="3">
        <v>1908584</v>
      </c>
      <c r="L150" s="3">
        <v>0</v>
      </c>
      <c r="M150" s="3">
        <v>1908584</v>
      </c>
      <c r="N150" s="3">
        <v>0</v>
      </c>
      <c r="O150" s="3">
        <v>0</v>
      </c>
      <c r="P150" s="3">
        <v>0</v>
      </c>
    </row>
    <row r="151" spans="1:16" s="3" customFormat="1">
      <c r="A151" s="3" t="s">
        <v>146</v>
      </c>
      <c r="B151" s="4"/>
      <c r="C151" s="3" t="s">
        <v>143</v>
      </c>
      <c r="D151" s="3" t="s">
        <v>144</v>
      </c>
      <c r="E151" s="3">
        <f>+IFERROR(VLOOKUP(A151,TB!$A$12:$C$403,2,),0)</f>
        <v>45170</v>
      </c>
      <c r="G151" s="3">
        <f t="shared" si="12"/>
        <v>45170</v>
      </c>
      <c r="H151" s="3">
        <f>+IFERROR(VLOOKUP(A151,TB!$A$12:$C$403,3,),0)</f>
        <v>0</v>
      </c>
      <c r="J151" s="3">
        <f t="shared" si="13"/>
        <v>0</v>
      </c>
      <c r="K151" s="3">
        <v>41543</v>
      </c>
      <c r="L151" s="3">
        <v>0</v>
      </c>
      <c r="M151" s="3">
        <v>41543</v>
      </c>
      <c r="N151" s="3">
        <v>0</v>
      </c>
      <c r="O151" s="3">
        <v>0</v>
      </c>
      <c r="P151" s="3">
        <v>0</v>
      </c>
    </row>
    <row r="152" spans="1:16" s="3" customFormat="1">
      <c r="A152" s="3" t="s">
        <v>147</v>
      </c>
      <c r="B152" s="4"/>
      <c r="C152" s="3" t="s">
        <v>143</v>
      </c>
      <c r="D152" s="3" t="s">
        <v>144</v>
      </c>
      <c r="E152" s="3">
        <f>+IFERROR(VLOOKUP(A152,TB!$A$12:$C$403,2,),0)</f>
        <v>56194</v>
      </c>
      <c r="G152" s="3">
        <f t="shared" si="12"/>
        <v>56194</v>
      </c>
      <c r="H152" s="3">
        <f>+IFERROR(VLOOKUP(A152,TB!$A$12:$C$403,3,),0)</f>
        <v>0</v>
      </c>
      <c r="J152" s="3">
        <f t="shared" si="13"/>
        <v>0</v>
      </c>
      <c r="K152" s="3">
        <v>48716</v>
      </c>
      <c r="L152" s="3">
        <v>0</v>
      </c>
      <c r="M152" s="3">
        <v>48716</v>
      </c>
      <c r="N152" s="3">
        <v>0</v>
      </c>
      <c r="O152" s="3">
        <v>0</v>
      </c>
      <c r="P152" s="3">
        <v>0</v>
      </c>
    </row>
    <row r="153" spans="1:16" s="3" customFormat="1">
      <c r="A153" s="3" t="s">
        <v>148</v>
      </c>
      <c r="B153" s="4"/>
      <c r="C153" s="3" t="s">
        <v>143</v>
      </c>
      <c r="D153" s="3" t="s">
        <v>144</v>
      </c>
      <c r="E153" s="3">
        <f>+IFERROR(VLOOKUP(A153,TB!$A$12:$C$403,2,),0)</f>
        <v>114072</v>
      </c>
      <c r="G153" s="3">
        <f t="shared" si="12"/>
        <v>114072</v>
      </c>
      <c r="H153" s="3">
        <f>+IFERROR(VLOOKUP(A153,TB!$A$12:$C$403,3,),0)</f>
        <v>0</v>
      </c>
      <c r="J153" s="3">
        <f t="shared" si="13"/>
        <v>0</v>
      </c>
      <c r="K153" s="3">
        <v>113997</v>
      </c>
      <c r="L153" s="3">
        <v>0</v>
      </c>
      <c r="M153" s="3">
        <v>113997</v>
      </c>
      <c r="N153" s="3">
        <v>0</v>
      </c>
      <c r="O153" s="3">
        <v>0</v>
      </c>
      <c r="P153" s="3">
        <v>0</v>
      </c>
    </row>
    <row r="154" spans="1:16" s="3" customFormat="1">
      <c r="A154" s="3" t="s">
        <v>149</v>
      </c>
      <c r="B154" s="4"/>
      <c r="C154" s="3" t="s">
        <v>143</v>
      </c>
      <c r="D154" s="3" t="s">
        <v>144</v>
      </c>
      <c r="E154" s="3">
        <f>+IFERROR(VLOOKUP(A154,TB!$A$12:$C$403,2,),0)</f>
        <v>13650885</v>
      </c>
      <c r="G154" s="3">
        <f t="shared" si="12"/>
        <v>13650885</v>
      </c>
      <c r="H154" s="3">
        <f>+IFERROR(VLOOKUP(A154,TB!$A$12:$C$403,3,),0)</f>
        <v>0</v>
      </c>
      <c r="J154" s="3">
        <f t="shared" si="13"/>
        <v>0</v>
      </c>
      <c r="K154" s="3">
        <v>13628774</v>
      </c>
      <c r="L154" s="3">
        <v>0</v>
      </c>
      <c r="M154" s="3">
        <v>13628774</v>
      </c>
      <c r="N154" s="3">
        <v>0</v>
      </c>
      <c r="O154" s="3">
        <v>0</v>
      </c>
      <c r="P154" s="3">
        <v>0</v>
      </c>
    </row>
    <row r="155" spans="1:16" s="3" customFormat="1">
      <c r="A155" s="3" t="s">
        <v>150</v>
      </c>
      <c r="B155" s="4"/>
      <c r="C155" s="3" t="s">
        <v>143</v>
      </c>
      <c r="D155" s="3" t="s">
        <v>144</v>
      </c>
      <c r="E155" s="3">
        <f>+IFERROR(VLOOKUP(A155,TB!$A$12:$C$403,2,),0)</f>
        <v>369149</v>
      </c>
      <c r="G155" s="3">
        <f t="shared" si="12"/>
        <v>369149</v>
      </c>
      <c r="H155" s="3">
        <f>+IFERROR(VLOOKUP(A155,TB!$A$12:$C$403,3,),0)</f>
        <v>0</v>
      </c>
      <c r="J155" s="3">
        <f t="shared" si="13"/>
        <v>0</v>
      </c>
      <c r="K155" s="3">
        <v>369149</v>
      </c>
      <c r="L155" s="3">
        <v>0</v>
      </c>
      <c r="M155" s="3">
        <v>369149</v>
      </c>
      <c r="N155" s="3">
        <v>0</v>
      </c>
      <c r="O155" s="3">
        <v>0</v>
      </c>
      <c r="P155" s="3">
        <v>0</v>
      </c>
    </row>
    <row r="156" spans="1:16" s="3" customFormat="1">
      <c r="A156" s="3" t="s">
        <v>151</v>
      </c>
      <c r="B156" s="4">
        <v>9</v>
      </c>
      <c r="C156" s="3" t="s">
        <v>37</v>
      </c>
      <c r="D156" s="3" t="s">
        <v>38</v>
      </c>
      <c r="E156" s="3">
        <f>+IFERROR(VLOOKUP(A156,TB!$A$12:$C$403,2,),0)</f>
        <v>23000</v>
      </c>
      <c r="G156" s="3">
        <f t="shared" si="12"/>
        <v>23000</v>
      </c>
      <c r="H156" s="3">
        <f>+IFERROR(VLOOKUP(A156,TB!$A$12:$C$403,3,),0)</f>
        <v>0</v>
      </c>
      <c r="J156" s="3">
        <f t="shared" si="13"/>
        <v>0</v>
      </c>
      <c r="K156" s="3">
        <v>0</v>
      </c>
      <c r="L156" s="3">
        <v>0</v>
      </c>
      <c r="M156" s="3">
        <v>0</v>
      </c>
      <c r="N156" s="3">
        <v>0</v>
      </c>
      <c r="O156" s="3">
        <v>0</v>
      </c>
      <c r="P156" s="3">
        <v>0</v>
      </c>
    </row>
    <row r="157" spans="1:16" s="3" customFormat="1">
      <c r="A157" s="3" t="s">
        <v>152</v>
      </c>
      <c r="B157" s="4">
        <v>17</v>
      </c>
      <c r="C157" s="3" t="s">
        <v>10</v>
      </c>
      <c r="D157" s="3" t="s">
        <v>10</v>
      </c>
      <c r="E157" s="3">
        <f>+IFERROR(VLOOKUP(A157,TB!$A$12:$C$403,2,),0)</f>
        <v>0</v>
      </c>
      <c r="G157" s="3">
        <f t="shared" si="12"/>
        <v>0</v>
      </c>
      <c r="H157" s="3">
        <f>+IFERROR(VLOOKUP(A157,TB!$A$12:$C$403,3,),0)</f>
        <v>29160</v>
      </c>
      <c r="J157" s="3">
        <f t="shared" si="13"/>
        <v>29160</v>
      </c>
      <c r="K157" s="3">
        <v>0</v>
      </c>
      <c r="L157" s="3">
        <v>0</v>
      </c>
      <c r="M157" s="3">
        <v>0</v>
      </c>
      <c r="N157" s="3">
        <v>0</v>
      </c>
      <c r="O157" s="3">
        <v>0</v>
      </c>
      <c r="P157" s="3">
        <v>0</v>
      </c>
    </row>
    <row r="158" spans="1:16" s="3" customFormat="1">
      <c r="A158" s="3" t="s">
        <v>153</v>
      </c>
      <c r="B158" s="4">
        <v>9</v>
      </c>
      <c r="C158" s="3" t="s">
        <v>37</v>
      </c>
      <c r="D158" s="3" t="s">
        <v>38</v>
      </c>
      <c r="E158" s="3">
        <f>+IFERROR(VLOOKUP(A158,TB!$A$12:$C$403,2,),0)</f>
        <v>34000</v>
      </c>
      <c r="G158" s="3">
        <f t="shared" si="12"/>
        <v>34000</v>
      </c>
      <c r="H158" s="3">
        <f>+IFERROR(VLOOKUP(A158,TB!$A$12:$C$403,3,),0)</f>
        <v>0</v>
      </c>
      <c r="J158" s="3">
        <f t="shared" si="13"/>
        <v>0</v>
      </c>
      <c r="K158" s="3">
        <v>54000</v>
      </c>
      <c r="L158" s="3">
        <v>0</v>
      </c>
      <c r="M158" s="3">
        <v>54000</v>
      </c>
      <c r="N158" s="3">
        <v>0</v>
      </c>
      <c r="O158" s="3">
        <v>0</v>
      </c>
      <c r="P158" s="3">
        <v>0</v>
      </c>
    </row>
    <row r="159" spans="1:16" s="3" customFormat="1">
      <c r="A159" s="3" t="s">
        <v>154</v>
      </c>
      <c r="B159" s="4">
        <v>25</v>
      </c>
      <c r="C159" s="3" t="s">
        <v>155</v>
      </c>
      <c r="D159" s="3" t="s">
        <v>156</v>
      </c>
      <c r="E159" s="3">
        <f>+IFERROR(VLOOKUP(A159,TB!$A$12:$C$403,2,),0)</f>
        <v>33000</v>
      </c>
      <c r="G159" s="3">
        <f t="shared" si="12"/>
        <v>33000</v>
      </c>
      <c r="H159" s="3">
        <f>+IFERROR(VLOOKUP(A159,TB!$A$12:$C$403,3,),0)</f>
        <v>0</v>
      </c>
      <c r="J159" s="3">
        <f t="shared" si="13"/>
        <v>0</v>
      </c>
      <c r="K159" s="3">
        <v>46500</v>
      </c>
      <c r="L159" s="3">
        <v>0</v>
      </c>
      <c r="M159" s="3">
        <v>46500</v>
      </c>
      <c r="N159" s="3">
        <v>0</v>
      </c>
      <c r="O159" s="3">
        <v>0</v>
      </c>
      <c r="P159" s="3">
        <v>0</v>
      </c>
    </row>
    <row r="160" spans="1:16" s="3" customFormat="1">
      <c r="A160" s="3" t="s">
        <v>157</v>
      </c>
      <c r="B160" s="4">
        <v>21</v>
      </c>
      <c r="C160" s="3" t="s">
        <v>158</v>
      </c>
      <c r="D160" s="3" t="s">
        <v>159</v>
      </c>
      <c r="E160" s="3">
        <f>+IFERROR(VLOOKUP(A160,TB!$A$12:$C$403,2,),0)</f>
        <v>0</v>
      </c>
      <c r="G160" s="3">
        <f t="shared" si="12"/>
        <v>0</v>
      </c>
      <c r="H160" s="3">
        <f>+IFERROR(VLOOKUP(A160,TB!$A$12:$C$403,3,),0)</f>
        <v>0</v>
      </c>
      <c r="J160" s="3">
        <f t="shared" si="13"/>
        <v>0</v>
      </c>
      <c r="K160" s="3">
        <v>3692009</v>
      </c>
      <c r="L160" s="3">
        <v>0</v>
      </c>
      <c r="M160" s="3">
        <v>3692009</v>
      </c>
      <c r="N160" s="3">
        <v>0</v>
      </c>
      <c r="O160" s="3">
        <v>0</v>
      </c>
      <c r="P160" s="3">
        <v>0</v>
      </c>
    </row>
    <row r="161" spans="1:16" s="3" customFormat="1">
      <c r="A161" s="3" t="s">
        <v>160</v>
      </c>
      <c r="B161" s="4">
        <v>21</v>
      </c>
      <c r="C161" s="3" t="s">
        <v>158</v>
      </c>
      <c r="D161" s="3" t="s">
        <v>159</v>
      </c>
      <c r="E161" s="3">
        <f>+IFERROR(VLOOKUP(A161,TB!$A$12:$C$403,2,),0)</f>
        <v>0</v>
      </c>
      <c r="G161" s="3">
        <f t="shared" si="12"/>
        <v>0</v>
      </c>
      <c r="H161" s="3">
        <f>+IFERROR(VLOOKUP(A161,TB!$A$12:$C$403,3,),0)</f>
        <v>138935526.5</v>
      </c>
      <c r="J161" s="3">
        <f t="shared" si="13"/>
        <v>138935526.5</v>
      </c>
      <c r="K161" s="3">
        <v>0</v>
      </c>
      <c r="L161" s="3">
        <v>0</v>
      </c>
      <c r="M161" s="3">
        <v>0</v>
      </c>
      <c r="N161" s="3">
        <v>121315419.15000001</v>
      </c>
      <c r="O161" s="3">
        <v>0</v>
      </c>
      <c r="P161" s="3">
        <v>121315419.15000001</v>
      </c>
    </row>
    <row r="162" spans="1:16" s="3" customFormat="1">
      <c r="A162" s="3" t="s">
        <v>161</v>
      </c>
      <c r="B162" s="4">
        <v>17</v>
      </c>
      <c r="C162" s="3" t="s">
        <v>10</v>
      </c>
      <c r="D162" s="3" t="s">
        <v>11</v>
      </c>
      <c r="E162" s="3">
        <f>+IFERROR(VLOOKUP(A162,TB!$A$12:$C$403,2,),0)</f>
        <v>0</v>
      </c>
      <c r="G162" s="3">
        <f t="shared" si="12"/>
        <v>0</v>
      </c>
      <c r="H162" s="3">
        <f>+IFERROR(VLOOKUP(A162,TB!$A$12:$C$403,3,),0)</f>
        <v>112909.16</v>
      </c>
      <c r="J162" s="3">
        <f t="shared" si="13"/>
        <v>112909.16</v>
      </c>
      <c r="K162" s="3">
        <v>0</v>
      </c>
      <c r="L162" s="3">
        <v>0</v>
      </c>
      <c r="M162" s="3">
        <v>0</v>
      </c>
      <c r="N162" s="3">
        <v>101425.16</v>
      </c>
      <c r="O162" s="3">
        <v>0</v>
      </c>
      <c r="P162" s="3">
        <v>101425.16</v>
      </c>
    </row>
    <row r="163" spans="1:16" s="3" customFormat="1">
      <c r="A163" s="3" t="s">
        <v>162</v>
      </c>
      <c r="B163" s="4">
        <v>27</v>
      </c>
      <c r="C163" s="3" t="s">
        <v>51</v>
      </c>
      <c r="D163" s="3" t="s">
        <v>163</v>
      </c>
      <c r="E163" s="3">
        <f>+IFERROR(VLOOKUP(A163,TB!$A$12:$C$403,2,),0)</f>
        <v>37500</v>
      </c>
      <c r="G163" s="3">
        <f t="shared" si="12"/>
        <v>37500</v>
      </c>
      <c r="H163" s="3">
        <f>+IFERROR(VLOOKUP(A163,TB!$A$12:$C$403,3,),0)</f>
        <v>0</v>
      </c>
      <c r="J163" s="3">
        <f t="shared" si="13"/>
        <v>0</v>
      </c>
      <c r="K163" s="3">
        <v>26700</v>
      </c>
      <c r="L163" s="3">
        <v>0</v>
      </c>
      <c r="M163" s="3">
        <v>26700</v>
      </c>
      <c r="N163" s="3">
        <v>0</v>
      </c>
      <c r="O163" s="3">
        <v>0</v>
      </c>
      <c r="P163" s="3">
        <v>0</v>
      </c>
    </row>
    <row r="164" spans="1:16" s="3" customFormat="1">
      <c r="A164" s="3" t="s">
        <v>164</v>
      </c>
      <c r="B164" s="4">
        <v>4</v>
      </c>
      <c r="C164" s="3" t="s">
        <v>24</v>
      </c>
      <c r="D164" s="3" t="s">
        <v>25</v>
      </c>
      <c r="E164" s="3">
        <f>+IFERROR(VLOOKUP(A164,TB!$A$12:$C$403,2,),0)</f>
        <v>18000</v>
      </c>
      <c r="G164" s="3">
        <f t="shared" si="12"/>
        <v>18000</v>
      </c>
      <c r="H164" s="3">
        <f>+IFERROR(VLOOKUP(A164,TB!$A$12:$C$403,3,),0)</f>
        <v>0</v>
      </c>
      <c r="J164" s="3">
        <f t="shared" si="13"/>
        <v>0</v>
      </c>
      <c r="K164" s="3">
        <v>0</v>
      </c>
      <c r="L164" s="3">
        <v>0</v>
      </c>
      <c r="M164" s="3">
        <v>0</v>
      </c>
      <c r="N164" s="3">
        <v>0</v>
      </c>
      <c r="O164" s="3">
        <v>0</v>
      </c>
      <c r="P164" s="3">
        <v>0</v>
      </c>
    </row>
    <row r="165" spans="1:16" s="3" customFormat="1">
      <c r="A165" s="3" t="s">
        <v>165</v>
      </c>
      <c r="B165" s="4">
        <v>17</v>
      </c>
      <c r="C165" s="3" t="s">
        <v>10</v>
      </c>
      <c r="D165" s="3" t="s">
        <v>10</v>
      </c>
      <c r="E165" s="3">
        <f>+IFERROR(VLOOKUP(A165,TB!$A$12:$C$403,2,),0)</f>
        <v>0</v>
      </c>
      <c r="G165" s="3">
        <f t="shared" si="12"/>
        <v>0</v>
      </c>
      <c r="H165" s="3">
        <f>+IFERROR(VLOOKUP(A165,TB!$A$12:$C$403,3,),0)</f>
        <v>89916</v>
      </c>
      <c r="J165" s="3">
        <f t="shared" si="13"/>
        <v>89916</v>
      </c>
      <c r="K165" s="3">
        <v>0</v>
      </c>
      <c r="L165" s="3">
        <v>0</v>
      </c>
      <c r="M165" s="3">
        <v>0</v>
      </c>
      <c r="N165" s="3">
        <v>66506</v>
      </c>
      <c r="O165" s="3">
        <v>0</v>
      </c>
      <c r="P165" s="3">
        <v>66506</v>
      </c>
    </row>
    <row r="166" spans="1:16" s="3" customFormat="1">
      <c r="A166" s="3" t="s">
        <v>166</v>
      </c>
      <c r="B166" s="4">
        <v>17</v>
      </c>
      <c r="C166" s="3" t="s">
        <v>10</v>
      </c>
      <c r="D166" s="3" t="s">
        <v>10</v>
      </c>
      <c r="E166" s="3">
        <f>+IFERROR(VLOOKUP(A166,TB!$A$12:$C$403,2,),0)</f>
        <v>0</v>
      </c>
      <c r="G166" s="3">
        <f t="shared" si="12"/>
        <v>0</v>
      </c>
      <c r="H166" s="3">
        <f>+IFERROR(VLOOKUP(A166,TB!$A$12:$C$403,3,),0)</f>
        <v>4164978</v>
      </c>
      <c r="J166" s="3">
        <f t="shared" si="13"/>
        <v>4164978</v>
      </c>
      <c r="K166" s="3">
        <v>0</v>
      </c>
      <c r="L166" s="3">
        <v>0</v>
      </c>
      <c r="M166" s="3">
        <v>0</v>
      </c>
      <c r="N166" s="3">
        <v>4625753</v>
      </c>
      <c r="O166" s="3">
        <v>0</v>
      </c>
      <c r="P166" s="3">
        <v>4625753</v>
      </c>
    </row>
    <row r="167" spans="1:16" s="3" customFormat="1">
      <c r="A167" s="3" t="s">
        <v>167</v>
      </c>
      <c r="B167" s="4">
        <v>2</v>
      </c>
      <c r="C167" s="3" t="s">
        <v>82</v>
      </c>
      <c r="D167" s="3" t="s">
        <v>83</v>
      </c>
      <c r="E167" s="3">
        <f>+IFERROR(VLOOKUP(A167,TB!$A$12:$C$403,2,),0)</f>
        <v>26557047.010000002</v>
      </c>
      <c r="G167" s="3">
        <f t="shared" si="12"/>
        <v>26557047.010000002</v>
      </c>
      <c r="H167" s="3">
        <f>+IFERROR(VLOOKUP(A167,TB!$A$12:$C$403,3,),0)</f>
        <v>0</v>
      </c>
      <c r="J167" s="3">
        <f t="shared" si="13"/>
        <v>0</v>
      </c>
      <c r="K167" s="3">
        <v>26458587.010000002</v>
      </c>
      <c r="L167" s="3">
        <v>0</v>
      </c>
      <c r="M167" s="3">
        <v>26458587.010000002</v>
      </c>
      <c r="N167" s="3">
        <v>0</v>
      </c>
      <c r="O167" s="3">
        <v>0</v>
      </c>
      <c r="P167" s="3">
        <v>0</v>
      </c>
    </row>
    <row r="168" spans="1:16" s="3" customFormat="1">
      <c r="A168" s="3" t="s">
        <v>168</v>
      </c>
      <c r="B168" s="4">
        <v>12</v>
      </c>
      <c r="C168" s="3" t="s">
        <v>169</v>
      </c>
      <c r="D168" s="3" t="s">
        <v>170</v>
      </c>
      <c r="E168" s="3">
        <f>+IFERROR(VLOOKUP(A168,TB!$A$12:$C$403,2,),0)</f>
        <v>0</v>
      </c>
      <c r="G168" s="3">
        <f t="shared" si="12"/>
        <v>0</v>
      </c>
      <c r="H168" s="3">
        <f>+IFERROR(VLOOKUP(A168,TB!$A$12:$C$403,3,),0)</f>
        <v>26922650</v>
      </c>
      <c r="J168" s="3">
        <f t="shared" si="13"/>
        <v>26922650</v>
      </c>
      <c r="K168" s="3">
        <v>0</v>
      </c>
      <c r="L168" s="3">
        <v>0</v>
      </c>
      <c r="M168" s="3">
        <v>0</v>
      </c>
      <c r="N168" s="3">
        <v>26922650</v>
      </c>
      <c r="O168" s="3">
        <v>0</v>
      </c>
      <c r="P168" s="3">
        <v>26922650</v>
      </c>
    </row>
    <row r="169" spans="1:16" s="3" customFormat="1">
      <c r="A169" s="3" t="s">
        <v>171</v>
      </c>
      <c r="B169" s="4">
        <v>25</v>
      </c>
      <c r="C169" s="3" t="s">
        <v>155</v>
      </c>
      <c r="D169" s="3" t="s">
        <v>172</v>
      </c>
      <c r="E169" s="3">
        <f>+IFERROR(VLOOKUP(A169,TB!$A$12:$C$403,2,),0)</f>
        <v>236264</v>
      </c>
      <c r="G169" s="3">
        <f t="shared" ref="G169:G202" si="14">+E169+F169</f>
        <v>236264</v>
      </c>
      <c r="H169" s="3">
        <f>+IFERROR(VLOOKUP(A169,TB!$A$12:$C$403,3,),0)</f>
        <v>0</v>
      </c>
      <c r="J169" s="3">
        <f t="shared" ref="J169:J202" si="15">+H169+I169</f>
        <v>0</v>
      </c>
      <c r="K169" s="3">
        <v>234882</v>
      </c>
      <c r="L169" s="3">
        <v>0</v>
      </c>
      <c r="M169" s="3">
        <v>234882</v>
      </c>
      <c r="N169" s="3">
        <v>0</v>
      </c>
      <c r="O169" s="3">
        <v>0</v>
      </c>
      <c r="P169" s="3">
        <v>0</v>
      </c>
    </row>
    <row r="170" spans="1:16" s="3" customFormat="1">
      <c r="A170" s="3" t="s">
        <v>173</v>
      </c>
      <c r="B170" s="4">
        <v>27</v>
      </c>
      <c r="C170" s="3" t="s">
        <v>51</v>
      </c>
      <c r="D170" s="3" t="s">
        <v>87</v>
      </c>
      <c r="E170" s="3">
        <f>+IFERROR(VLOOKUP(A170,TB!$A$12:$C$403,2,),0)</f>
        <v>18701</v>
      </c>
      <c r="G170" s="3">
        <f t="shared" si="14"/>
        <v>18701</v>
      </c>
      <c r="H170" s="3">
        <f>+IFERROR(VLOOKUP(A170,TB!$A$12:$C$403,3,),0)</f>
        <v>0</v>
      </c>
      <c r="J170" s="3">
        <f t="shared" si="15"/>
        <v>0</v>
      </c>
      <c r="K170" s="3">
        <v>18000</v>
      </c>
      <c r="L170" s="3">
        <v>0</v>
      </c>
      <c r="M170" s="3">
        <v>18000</v>
      </c>
      <c r="N170" s="3">
        <v>0</v>
      </c>
      <c r="O170" s="3">
        <v>0</v>
      </c>
      <c r="P170" s="3">
        <v>0</v>
      </c>
    </row>
    <row r="171" spans="1:16" s="3" customFormat="1">
      <c r="A171" s="5" t="s">
        <v>174</v>
      </c>
      <c r="B171" s="4">
        <v>25</v>
      </c>
      <c r="C171" s="3" t="s">
        <v>155</v>
      </c>
      <c r="D171" s="3" t="s">
        <v>156</v>
      </c>
      <c r="E171" s="3">
        <f>+IFERROR(VLOOKUP(A171,TB!$A$12:$C$403,2,),0)</f>
        <v>10975</v>
      </c>
      <c r="G171" s="3">
        <f t="shared" si="14"/>
        <v>10975</v>
      </c>
      <c r="H171" s="3">
        <f>+IFERROR(VLOOKUP(A171,TB!$A$12:$C$403,3,),0)</f>
        <v>0</v>
      </c>
      <c r="J171" s="3">
        <f t="shared" si="15"/>
        <v>0</v>
      </c>
      <c r="K171" s="3">
        <v>10320</v>
      </c>
      <c r="L171" s="3">
        <v>0</v>
      </c>
      <c r="M171" s="3">
        <v>10320</v>
      </c>
      <c r="N171" s="3">
        <v>0</v>
      </c>
      <c r="O171" s="3">
        <v>0</v>
      </c>
      <c r="P171" s="3">
        <v>0</v>
      </c>
    </row>
    <row r="172" spans="1:16" s="3" customFormat="1">
      <c r="A172" s="3" t="s">
        <v>175</v>
      </c>
      <c r="B172" s="4">
        <v>23</v>
      </c>
      <c r="C172" s="3" t="s">
        <v>102</v>
      </c>
      <c r="D172" s="3" t="s">
        <v>103</v>
      </c>
      <c r="E172" s="3">
        <f>+IFERROR(VLOOKUP(A172,TB!$A$12:$C$403,2,),0)</f>
        <v>0</v>
      </c>
      <c r="G172" s="3">
        <f t="shared" si="14"/>
        <v>0</v>
      </c>
      <c r="H172" s="3">
        <f>+IFERROR(VLOOKUP(A172,TB!$A$12:$C$403,3,),0)</f>
        <v>0</v>
      </c>
      <c r="J172" s="3">
        <f t="shared" si="15"/>
        <v>0</v>
      </c>
      <c r="K172" s="3">
        <v>5916</v>
      </c>
      <c r="L172" s="3">
        <v>0</v>
      </c>
      <c r="M172" s="3">
        <v>5916</v>
      </c>
      <c r="N172" s="3">
        <v>0</v>
      </c>
      <c r="O172" s="3">
        <v>0</v>
      </c>
      <c r="P172" s="3">
        <v>0</v>
      </c>
    </row>
    <row r="173" spans="1:16" s="3" customFormat="1">
      <c r="A173" s="3" t="s">
        <v>176</v>
      </c>
      <c r="B173" s="4">
        <v>27</v>
      </c>
      <c r="C173" s="3" t="s">
        <v>30</v>
      </c>
      <c r="D173" s="3" t="s">
        <v>177</v>
      </c>
      <c r="E173" s="3">
        <f>+IFERROR(VLOOKUP(A173,TB!$A$12:$C$403,2,),0)</f>
        <v>0</v>
      </c>
      <c r="G173" s="3">
        <f t="shared" si="14"/>
        <v>0</v>
      </c>
      <c r="H173" s="3">
        <f>+IFERROR(VLOOKUP(A173,TB!$A$12:$C$403,3,),0)</f>
        <v>0</v>
      </c>
      <c r="J173" s="3">
        <f t="shared" si="15"/>
        <v>0</v>
      </c>
      <c r="K173" s="3">
        <v>1570177</v>
      </c>
      <c r="L173" s="3">
        <v>0</v>
      </c>
      <c r="M173" s="3">
        <v>1570177</v>
      </c>
      <c r="N173" s="3">
        <v>0</v>
      </c>
      <c r="O173" s="3">
        <v>0</v>
      </c>
      <c r="P173" s="3">
        <v>0</v>
      </c>
    </row>
    <row r="174" spans="1:16" s="3" customFormat="1">
      <c r="A174" s="3" t="s">
        <v>178</v>
      </c>
      <c r="B174" s="4">
        <v>21</v>
      </c>
      <c r="C174" s="3" t="s">
        <v>158</v>
      </c>
      <c r="D174" s="3" t="s">
        <v>159</v>
      </c>
      <c r="E174" s="3">
        <f>+IFERROR(VLOOKUP(A174,TB!$A$12:$C$403,2,),0)</f>
        <v>0</v>
      </c>
      <c r="G174" s="3">
        <f t="shared" si="14"/>
        <v>0</v>
      </c>
      <c r="H174" s="3">
        <f>+IFERROR(VLOOKUP(A174,TB!$A$12:$C$403,3,),0)</f>
        <v>0</v>
      </c>
      <c r="J174" s="3">
        <f t="shared" si="15"/>
        <v>0</v>
      </c>
      <c r="K174" s="3">
        <v>0</v>
      </c>
      <c r="L174" s="3">
        <v>0</v>
      </c>
      <c r="M174" s="3">
        <v>0</v>
      </c>
      <c r="N174" s="3">
        <v>15060978</v>
      </c>
      <c r="O174" s="3">
        <v>0</v>
      </c>
      <c r="P174" s="3">
        <v>15060978</v>
      </c>
    </row>
    <row r="175" spans="1:16" s="3" customFormat="1">
      <c r="A175" s="3" t="s">
        <v>179</v>
      </c>
      <c r="B175" s="4">
        <v>27</v>
      </c>
      <c r="C175" s="3" t="s">
        <v>77</v>
      </c>
      <c r="D175" s="3" t="s">
        <v>78</v>
      </c>
      <c r="E175" s="3">
        <f>+IFERROR(VLOOKUP(A175,TB!$A$12:$C$403,2,),0)</f>
        <v>75600</v>
      </c>
      <c r="G175" s="3">
        <f t="shared" si="14"/>
        <v>75600</v>
      </c>
      <c r="H175" s="3">
        <f>+IFERROR(VLOOKUP(A175,TB!$A$12:$C$403,3,),0)</f>
        <v>0</v>
      </c>
      <c r="J175" s="3">
        <f t="shared" si="15"/>
        <v>0</v>
      </c>
      <c r="K175" s="3">
        <v>72000</v>
      </c>
      <c r="L175" s="3">
        <v>0</v>
      </c>
      <c r="M175" s="3">
        <v>72000</v>
      </c>
      <c r="N175" s="3">
        <v>0</v>
      </c>
      <c r="O175" s="3">
        <v>0</v>
      </c>
      <c r="P175" s="3">
        <v>0</v>
      </c>
    </row>
    <row r="176" spans="1:16" s="3" customFormat="1">
      <c r="A176" s="3" t="s">
        <v>180</v>
      </c>
      <c r="B176" s="4">
        <v>27</v>
      </c>
      <c r="C176" s="3" t="s">
        <v>77</v>
      </c>
      <c r="D176" s="3" t="s">
        <v>78</v>
      </c>
      <c r="E176" s="3">
        <f>+IFERROR(VLOOKUP(A176,TB!$A$12:$C$403,2,),0)</f>
        <v>365711.4</v>
      </c>
      <c r="G176" s="3">
        <f t="shared" si="14"/>
        <v>365711.4</v>
      </c>
      <c r="H176" s="3">
        <f>+IFERROR(VLOOKUP(A176,TB!$A$12:$C$403,3,),0)</f>
        <v>0</v>
      </c>
      <c r="J176" s="3">
        <f t="shared" si="15"/>
        <v>0</v>
      </c>
      <c r="K176" s="3">
        <v>262736</v>
      </c>
      <c r="L176" s="3">
        <v>0</v>
      </c>
      <c r="M176" s="3">
        <v>262736</v>
      </c>
      <c r="N176" s="3">
        <v>0</v>
      </c>
      <c r="O176" s="3">
        <v>0</v>
      </c>
      <c r="P176" s="3">
        <v>0</v>
      </c>
    </row>
    <row r="177" spans="1:16" s="3" customFormat="1">
      <c r="A177" s="3" t="s">
        <v>181</v>
      </c>
      <c r="B177" s="4">
        <v>27</v>
      </c>
      <c r="C177" s="3" t="s">
        <v>77</v>
      </c>
      <c r="D177" s="3" t="s">
        <v>107</v>
      </c>
      <c r="E177" s="3">
        <f>+IFERROR(VLOOKUP(A177,TB!$A$12:$C$403,2,),0)</f>
        <v>83424461</v>
      </c>
      <c r="G177" s="3">
        <f t="shared" si="14"/>
        <v>83424461</v>
      </c>
      <c r="H177" s="3">
        <f>+IFERROR(VLOOKUP(A177,TB!$A$12:$C$403,3,),0)</f>
        <v>0</v>
      </c>
      <c r="J177" s="3">
        <f t="shared" si="15"/>
        <v>0</v>
      </c>
      <c r="K177" s="3">
        <v>69613175</v>
      </c>
      <c r="L177" s="3">
        <v>0</v>
      </c>
      <c r="M177" s="3">
        <v>69613175</v>
      </c>
      <c r="N177" s="3">
        <v>0</v>
      </c>
      <c r="O177" s="3">
        <v>0</v>
      </c>
      <c r="P177" s="3">
        <v>0</v>
      </c>
    </row>
    <row r="178" spans="1:16" s="3" customFormat="1">
      <c r="A178" s="3" t="s">
        <v>182</v>
      </c>
      <c r="B178" s="4">
        <v>27</v>
      </c>
      <c r="C178" s="3" t="s">
        <v>77</v>
      </c>
      <c r="D178" s="3" t="s">
        <v>78</v>
      </c>
      <c r="E178" s="3">
        <f>+IFERROR(VLOOKUP(A178,TB!$A$12:$C$403,2,),0)</f>
        <v>301632</v>
      </c>
      <c r="G178" s="3">
        <f t="shared" si="14"/>
        <v>301632</v>
      </c>
      <c r="H178" s="3">
        <f>+IFERROR(VLOOKUP(A178,TB!$A$12:$C$403,3,),0)</f>
        <v>0</v>
      </c>
      <c r="J178" s="3">
        <f t="shared" si="15"/>
        <v>0</v>
      </c>
      <c r="K178" s="3">
        <v>240223</v>
      </c>
      <c r="L178" s="3">
        <v>0</v>
      </c>
      <c r="M178" s="3">
        <v>240223</v>
      </c>
      <c r="N178" s="3">
        <v>0</v>
      </c>
      <c r="O178" s="3">
        <v>0</v>
      </c>
      <c r="P178" s="3">
        <v>0</v>
      </c>
    </row>
    <row r="179" spans="1:16" s="3" customFormat="1">
      <c r="A179" s="3" t="s">
        <v>183</v>
      </c>
      <c r="B179" s="4">
        <v>27</v>
      </c>
      <c r="C179" s="3" t="s">
        <v>51</v>
      </c>
      <c r="D179" s="3" t="s">
        <v>87</v>
      </c>
      <c r="E179" s="3">
        <f>+IFERROR(VLOOKUP(A179,TB!$A$12:$C$403,2,),0)</f>
        <v>50000</v>
      </c>
      <c r="G179" s="3">
        <f t="shared" si="14"/>
        <v>50000</v>
      </c>
      <c r="H179" s="3">
        <f>+IFERROR(VLOOKUP(A179,TB!$A$12:$C$403,3,),0)</f>
        <v>0</v>
      </c>
      <c r="J179" s="3">
        <f t="shared" si="15"/>
        <v>0</v>
      </c>
      <c r="K179" s="3">
        <v>50000</v>
      </c>
      <c r="L179" s="3">
        <v>0</v>
      </c>
      <c r="M179" s="3">
        <v>50000</v>
      </c>
      <c r="N179" s="3">
        <v>0</v>
      </c>
      <c r="O179" s="3">
        <v>0</v>
      </c>
      <c r="P179" s="3">
        <v>0</v>
      </c>
    </row>
    <row r="180" spans="1:16" s="3" customFormat="1">
      <c r="A180" s="3" t="s">
        <v>184</v>
      </c>
      <c r="B180" s="4">
        <v>27</v>
      </c>
      <c r="C180" s="3" t="s">
        <v>77</v>
      </c>
      <c r="D180" s="3" t="s">
        <v>78</v>
      </c>
      <c r="E180" s="3">
        <f>+IFERROR(VLOOKUP(A180,TB!$A$12:$C$403,2,),0)</f>
        <v>30878.05</v>
      </c>
      <c r="G180" s="3">
        <f t="shared" si="14"/>
        <v>30878.05</v>
      </c>
      <c r="H180" s="3">
        <f>+IFERROR(VLOOKUP(A180,TB!$A$12:$C$403,3,),0)</f>
        <v>0</v>
      </c>
      <c r="J180" s="3">
        <f t="shared" si="15"/>
        <v>0</v>
      </c>
      <c r="K180" s="3">
        <v>0</v>
      </c>
      <c r="L180" s="3">
        <v>0</v>
      </c>
      <c r="M180" s="3">
        <v>0</v>
      </c>
      <c r="N180" s="3">
        <v>0</v>
      </c>
      <c r="O180" s="3">
        <v>0</v>
      </c>
      <c r="P180" s="3">
        <v>0</v>
      </c>
    </row>
    <row r="181" spans="1:16" s="3" customFormat="1">
      <c r="A181" s="3" t="s">
        <v>185</v>
      </c>
      <c r="B181" s="4">
        <v>27</v>
      </c>
      <c r="C181" s="3" t="s">
        <v>77</v>
      </c>
      <c r="D181" s="3" t="s">
        <v>186</v>
      </c>
      <c r="E181" s="3">
        <f>+IFERROR(VLOOKUP(A181,TB!$A$12:$C$403,2,),0)</f>
        <v>2829820</v>
      </c>
      <c r="G181" s="3">
        <f t="shared" si="14"/>
        <v>2829820</v>
      </c>
      <c r="H181" s="3">
        <f>+IFERROR(VLOOKUP(A181,TB!$A$12:$C$403,3,),0)</f>
        <v>0</v>
      </c>
      <c r="J181" s="3">
        <f t="shared" si="15"/>
        <v>0</v>
      </c>
      <c r="K181" s="3">
        <v>3282001</v>
      </c>
      <c r="L181" s="3">
        <v>0</v>
      </c>
      <c r="M181" s="3">
        <v>3282001</v>
      </c>
      <c r="N181" s="3">
        <v>0</v>
      </c>
      <c r="O181" s="3">
        <v>0</v>
      </c>
      <c r="P181" s="3">
        <v>0</v>
      </c>
    </row>
    <row r="182" spans="1:16" s="3" customFormat="1">
      <c r="A182" s="3" t="s">
        <v>187</v>
      </c>
      <c r="B182" s="4">
        <v>17</v>
      </c>
      <c r="C182" s="3" t="s">
        <v>10</v>
      </c>
      <c r="D182" s="3" t="s">
        <v>11</v>
      </c>
      <c r="E182" s="3">
        <f>+IFERROR(VLOOKUP(A182,TB!$A$12:$C$403,2,),0)</f>
        <v>0</v>
      </c>
      <c r="G182" s="3">
        <f t="shared" si="14"/>
        <v>0</v>
      </c>
      <c r="H182" s="3">
        <f>+IFERROR(VLOOKUP(A182,TB!$A$12:$C$403,3,),0)</f>
        <v>370401</v>
      </c>
      <c r="J182" s="3">
        <f t="shared" si="15"/>
        <v>370401</v>
      </c>
      <c r="K182" s="3">
        <v>0</v>
      </c>
      <c r="L182" s="3">
        <v>0</v>
      </c>
      <c r="M182" s="3">
        <v>0</v>
      </c>
      <c r="N182" s="3">
        <v>387409</v>
      </c>
      <c r="O182" s="3">
        <v>0</v>
      </c>
      <c r="P182" s="3">
        <v>387409</v>
      </c>
    </row>
    <row r="183" spans="1:16" s="3" customFormat="1">
      <c r="A183" s="3" t="s">
        <v>188</v>
      </c>
      <c r="B183" s="4">
        <v>3</v>
      </c>
      <c r="C183" s="3" t="s">
        <v>130</v>
      </c>
      <c r="D183" s="3" t="s">
        <v>131</v>
      </c>
      <c r="E183" s="3">
        <f>+IFERROR(VLOOKUP(A183,TB!$A$12:$C$403,2,),0)</f>
        <v>1767870</v>
      </c>
      <c r="G183" s="3">
        <f t="shared" si="14"/>
        <v>1767870</v>
      </c>
      <c r="H183" s="3">
        <f>+IFERROR(VLOOKUP(A183,TB!$A$12:$C$403,3,),0)</f>
        <v>0</v>
      </c>
      <c r="J183" s="3">
        <f t="shared" si="15"/>
        <v>0</v>
      </c>
      <c r="K183" s="3">
        <v>1767870</v>
      </c>
      <c r="L183" s="3">
        <v>0</v>
      </c>
      <c r="M183" s="3">
        <v>1767870</v>
      </c>
      <c r="N183" s="3">
        <v>0</v>
      </c>
      <c r="O183" s="3">
        <v>0</v>
      </c>
      <c r="P183" s="3">
        <v>0</v>
      </c>
    </row>
    <row r="184" spans="1:16" s="3" customFormat="1">
      <c r="A184" s="3" t="s">
        <v>189</v>
      </c>
      <c r="B184" s="4">
        <v>22</v>
      </c>
      <c r="C184" s="3" t="s">
        <v>59</v>
      </c>
      <c r="D184" s="3" t="s">
        <v>190</v>
      </c>
      <c r="E184" s="3">
        <f>+IFERROR(VLOOKUP(A184,TB!$A$12:$C$403,2,),0)</f>
        <v>0</v>
      </c>
      <c r="G184" s="3">
        <f t="shared" si="14"/>
        <v>0</v>
      </c>
      <c r="H184" s="3">
        <f>+IFERROR(VLOOKUP(A184,TB!$A$12:$C$403,3,),0)</f>
        <v>697771</v>
      </c>
      <c r="I184" s="3">
        <f>+BSPL!O481</f>
        <v>191396.66984900087</v>
      </c>
      <c r="J184" s="3">
        <f t="shared" si="15"/>
        <v>889167.66984900087</v>
      </c>
      <c r="K184" s="3">
        <v>0</v>
      </c>
      <c r="L184" s="3">
        <v>0</v>
      </c>
      <c r="M184" s="3">
        <v>0</v>
      </c>
      <c r="N184" s="3">
        <v>1231216</v>
      </c>
      <c r="O184" s="3">
        <v>0</v>
      </c>
      <c r="P184" s="3">
        <v>1231216</v>
      </c>
    </row>
    <row r="185" spans="1:16" s="3" customFormat="1">
      <c r="A185" s="3" t="s">
        <v>191</v>
      </c>
      <c r="B185" s="4">
        <v>23</v>
      </c>
      <c r="C185" s="3" t="s">
        <v>102</v>
      </c>
      <c r="D185" s="3" t="s">
        <v>103</v>
      </c>
      <c r="E185" s="3">
        <f>+IFERROR(VLOOKUP(A185,TB!$A$12:$C$403,2,),0)</f>
        <v>0</v>
      </c>
      <c r="G185" s="3">
        <f t="shared" si="14"/>
        <v>0</v>
      </c>
      <c r="H185" s="3">
        <f>+IFERROR(VLOOKUP(A185,TB!$A$12:$C$403,3,),0)</f>
        <v>0</v>
      </c>
      <c r="J185" s="3">
        <f t="shared" si="15"/>
        <v>0</v>
      </c>
      <c r="K185" s="3">
        <v>150805</v>
      </c>
      <c r="L185" s="3">
        <v>0</v>
      </c>
      <c r="M185" s="3">
        <v>150805</v>
      </c>
      <c r="N185" s="3">
        <v>0</v>
      </c>
      <c r="O185" s="3">
        <v>0</v>
      </c>
      <c r="P185" s="3">
        <v>0</v>
      </c>
    </row>
    <row r="186" spans="1:16" s="3" customFormat="1">
      <c r="A186" s="3" t="s">
        <v>192</v>
      </c>
      <c r="B186" s="4">
        <v>2</v>
      </c>
      <c r="C186" s="3" t="s">
        <v>82</v>
      </c>
      <c r="D186" s="3" t="s">
        <v>83</v>
      </c>
      <c r="E186" s="3">
        <f>+IFERROR(VLOOKUP(A186,TB!$A$12:$C$403,2,),0)</f>
        <v>33965000</v>
      </c>
      <c r="G186" s="3">
        <f t="shared" si="14"/>
        <v>33965000</v>
      </c>
      <c r="H186" s="3">
        <f>+IFERROR(VLOOKUP(A186,TB!$A$12:$C$403,3,),0)</f>
        <v>0</v>
      </c>
      <c r="J186" s="3">
        <f t="shared" si="15"/>
        <v>0</v>
      </c>
      <c r="K186" s="3">
        <v>33965000</v>
      </c>
      <c r="L186" s="3">
        <v>0</v>
      </c>
      <c r="M186" s="3">
        <v>33965000</v>
      </c>
      <c r="N186" s="3">
        <v>0</v>
      </c>
      <c r="O186" s="3">
        <v>0</v>
      </c>
      <c r="P186" s="3">
        <v>0</v>
      </c>
    </row>
    <row r="187" spans="1:16" s="3" customFormat="1">
      <c r="A187" s="3" t="s">
        <v>193</v>
      </c>
      <c r="B187" s="4">
        <v>2</v>
      </c>
      <c r="C187" s="3" t="s">
        <v>82</v>
      </c>
      <c r="D187" s="3" t="s">
        <v>83</v>
      </c>
      <c r="E187" s="3">
        <f>+IFERROR(VLOOKUP(A187,TB!$A$12:$C$403,2,),0)</f>
        <v>1884828.03</v>
      </c>
      <c r="G187" s="3">
        <f t="shared" si="14"/>
        <v>1884828.03</v>
      </c>
      <c r="H187" s="3">
        <f>+IFERROR(VLOOKUP(A187,TB!$A$12:$C$403,3,),0)</f>
        <v>0</v>
      </c>
      <c r="J187" s="3">
        <f t="shared" si="15"/>
        <v>0</v>
      </c>
      <c r="K187" s="3">
        <v>1344196.03</v>
      </c>
      <c r="L187" s="3">
        <v>0</v>
      </c>
      <c r="M187" s="3">
        <v>1344196.03</v>
      </c>
      <c r="N187" s="3">
        <v>0</v>
      </c>
      <c r="O187" s="3">
        <v>0</v>
      </c>
      <c r="P187" s="3">
        <v>0</v>
      </c>
    </row>
    <row r="188" spans="1:16" s="3" customFormat="1">
      <c r="A188" s="3" t="s">
        <v>194</v>
      </c>
      <c r="B188" s="4">
        <v>17</v>
      </c>
      <c r="C188" s="3" t="s">
        <v>10</v>
      </c>
      <c r="D188" s="3" t="s">
        <v>10</v>
      </c>
      <c r="E188" s="3">
        <f>+IFERROR(VLOOKUP(A188,TB!$A$12:$C$403,2,),0)</f>
        <v>0</v>
      </c>
      <c r="G188" s="3">
        <f t="shared" si="14"/>
        <v>0</v>
      </c>
      <c r="H188" s="3">
        <f>+IFERROR(VLOOKUP(A188,TB!$A$12:$C$403,3,),0)</f>
        <v>65007</v>
      </c>
      <c r="J188" s="3">
        <f t="shared" si="15"/>
        <v>65007</v>
      </c>
      <c r="K188" s="3">
        <v>0</v>
      </c>
      <c r="L188" s="3">
        <v>0</v>
      </c>
      <c r="M188" s="3">
        <v>0</v>
      </c>
      <c r="N188" s="3">
        <v>0</v>
      </c>
      <c r="O188" s="3">
        <v>0</v>
      </c>
      <c r="P188" s="3">
        <v>0</v>
      </c>
    </row>
    <row r="189" spans="1:16" s="3" customFormat="1">
      <c r="A189" s="3" t="s">
        <v>195</v>
      </c>
      <c r="B189" s="4"/>
      <c r="C189" s="3" t="s">
        <v>85</v>
      </c>
      <c r="D189" s="3" t="s">
        <v>196</v>
      </c>
      <c r="E189" s="3">
        <f>+IFERROR(VLOOKUP(A189,TB!$A$12:$C$403,2,),0)</f>
        <v>0</v>
      </c>
      <c r="G189" s="3">
        <f t="shared" si="14"/>
        <v>0</v>
      </c>
      <c r="H189" s="3">
        <f>+IFERROR(VLOOKUP(A189,TB!$A$12:$C$403,3,),0)</f>
        <v>1800000</v>
      </c>
      <c r="J189" s="3">
        <f t="shared" si="15"/>
        <v>1800000</v>
      </c>
      <c r="K189" s="3">
        <v>0</v>
      </c>
      <c r="L189" s="3">
        <v>0</v>
      </c>
      <c r="M189" s="3">
        <v>0</v>
      </c>
      <c r="N189" s="3">
        <v>1800000</v>
      </c>
      <c r="O189" s="3">
        <v>0</v>
      </c>
      <c r="P189" s="3">
        <v>1800000</v>
      </c>
    </row>
    <row r="190" spans="1:16" s="3" customFormat="1">
      <c r="A190" s="3" t="s">
        <v>197</v>
      </c>
      <c r="B190" s="4">
        <v>17</v>
      </c>
      <c r="C190" s="3" t="s">
        <v>10</v>
      </c>
      <c r="D190" s="3" t="s">
        <v>10</v>
      </c>
      <c r="E190" s="3">
        <f>+IFERROR(VLOOKUP(A190,TB!$A$12:$C$403,2,),0)</f>
        <v>0</v>
      </c>
      <c r="G190" s="3">
        <f t="shared" si="14"/>
        <v>0</v>
      </c>
      <c r="H190" s="3">
        <f>+IFERROR(VLOOKUP(A190,TB!$A$12:$C$403,3,),0)</f>
        <v>242667</v>
      </c>
      <c r="J190" s="3">
        <f t="shared" si="15"/>
        <v>242667</v>
      </c>
      <c r="K190" s="3">
        <v>0</v>
      </c>
      <c r="L190" s="3">
        <v>0</v>
      </c>
      <c r="M190" s="3">
        <v>0</v>
      </c>
      <c r="N190" s="3">
        <v>0</v>
      </c>
      <c r="O190" s="3">
        <v>0</v>
      </c>
      <c r="P190" s="3">
        <v>0</v>
      </c>
    </row>
    <row r="191" spans="1:16" s="3" customFormat="1">
      <c r="A191" s="3" t="s">
        <v>198</v>
      </c>
      <c r="B191" s="4">
        <v>25</v>
      </c>
      <c r="C191" s="3" t="s">
        <v>155</v>
      </c>
      <c r="D191" s="3" t="s">
        <v>172</v>
      </c>
      <c r="E191" s="3">
        <f>+IFERROR(VLOOKUP(A191,TB!$A$12:$C$403,2,),0)</f>
        <v>871518</v>
      </c>
      <c r="G191" s="3">
        <f t="shared" si="14"/>
        <v>871518</v>
      </c>
      <c r="H191" s="3">
        <f>+IFERROR(VLOOKUP(A191,TB!$A$12:$C$403,3,),0)</f>
        <v>0</v>
      </c>
      <c r="J191" s="3">
        <f t="shared" si="15"/>
        <v>0</v>
      </c>
      <c r="K191" s="3">
        <v>912232</v>
      </c>
      <c r="L191" s="3">
        <v>0</v>
      </c>
      <c r="M191" s="3">
        <v>912232</v>
      </c>
      <c r="N191" s="3">
        <v>0</v>
      </c>
      <c r="O191" s="3">
        <v>0</v>
      </c>
      <c r="P191" s="3">
        <v>0</v>
      </c>
    </row>
    <row r="192" spans="1:16" s="3" customFormat="1">
      <c r="A192" s="3" t="s">
        <v>199</v>
      </c>
      <c r="B192" s="4">
        <v>17</v>
      </c>
      <c r="C192" s="3" t="s">
        <v>10</v>
      </c>
      <c r="D192" s="3" t="s">
        <v>11</v>
      </c>
      <c r="E192" s="3">
        <f>+IFERROR(VLOOKUP(A192,TB!$A$12:$C$403,2,),0)</f>
        <v>0</v>
      </c>
      <c r="G192" s="3">
        <f t="shared" si="14"/>
        <v>0</v>
      </c>
      <c r="H192" s="3">
        <f>+IFERROR(VLOOKUP(A192,TB!$A$12:$C$403,3,),0)</f>
        <v>74340</v>
      </c>
      <c r="J192" s="3">
        <f t="shared" si="15"/>
        <v>74340</v>
      </c>
      <c r="K192" s="3">
        <v>0</v>
      </c>
      <c r="L192" s="3">
        <v>0</v>
      </c>
      <c r="M192" s="3">
        <v>0</v>
      </c>
      <c r="N192" s="3">
        <v>0</v>
      </c>
      <c r="O192" s="3">
        <v>0</v>
      </c>
      <c r="P192" s="3">
        <v>0</v>
      </c>
    </row>
    <row r="193" spans="1:16" s="3" customFormat="1">
      <c r="A193" s="3" t="s">
        <v>2383</v>
      </c>
      <c r="B193" s="4">
        <v>27</v>
      </c>
      <c r="C193" s="3" t="s">
        <v>51</v>
      </c>
      <c r="D193" s="3" t="s">
        <v>111</v>
      </c>
      <c r="E193" s="3">
        <f>+IFERROR(VLOOKUP(A193,TB!$A$12:$C$403,2,),0)</f>
        <v>30000</v>
      </c>
      <c r="G193" s="3">
        <f t="shared" ref="G193" si="16">+E193+F193</f>
        <v>30000</v>
      </c>
      <c r="H193" s="3">
        <f>+IFERROR(VLOOKUP(A193,TB!$A$12:$C$403,3,),0)</f>
        <v>0</v>
      </c>
      <c r="J193" s="3">
        <f t="shared" ref="J193" si="17">+H193+I193</f>
        <v>0</v>
      </c>
    </row>
    <row r="194" spans="1:16" s="3" customFormat="1">
      <c r="A194" s="3" t="s">
        <v>200</v>
      </c>
      <c r="B194" s="4">
        <v>27</v>
      </c>
      <c r="C194" s="3" t="s">
        <v>51</v>
      </c>
      <c r="D194" s="3" t="s">
        <v>111</v>
      </c>
      <c r="E194" s="3">
        <f>+IFERROR(VLOOKUP(A194,TB!$A$12:$C$403,2,),0)</f>
        <v>0</v>
      </c>
      <c r="G194" s="3">
        <f t="shared" si="14"/>
        <v>0</v>
      </c>
      <c r="H194" s="3">
        <f>+IFERROR(VLOOKUP(A194,TB!$A$12:$C$403,3,),0)</f>
        <v>0</v>
      </c>
      <c r="J194" s="3">
        <f t="shared" si="15"/>
        <v>0</v>
      </c>
      <c r="K194" s="3">
        <v>30000</v>
      </c>
      <c r="L194" s="3">
        <v>0</v>
      </c>
      <c r="M194" s="3">
        <v>30000</v>
      </c>
      <c r="N194" s="3">
        <v>0</v>
      </c>
      <c r="O194" s="3">
        <v>0</v>
      </c>
      <c r="P194" s="3">
        <v>0</v>
      </c>
    </row>
    <row r="195" spans="1:16" s="3" customFormat="1">
      <c r="A195" s="3" t="s">
        <v>201</v>
      </c>
      <c r="B195" s="4">
        <v>17</v>
      </c>
      <c r="C195" s="3" t="s">
        <v>10</v>
      </c>
      <c r="D195" s="3" t="s">
        <v>11</v>
      </c>
      <c r="E195" s="3">
        <f>+IFERROR(VLOOKUP(A195,TB!$A$12:$C$403,2,),0)</f>
        <v>0</v>
      </c>
      <c r="G195" s="3">
        <f t="shared" si="14"/>
        <v>0</v>
      </c>
      <c r="H195" s="3">
        <f>+IFERROR(VLOOKUP(A195,TB!$A$12:$C$403,3,),0)</f>
        <v>0</v>
      </c>
      <c r="J195" s="3">
        <f t="shared" si="15"/>
        <v>0</v>
      </c>
      <c r="K195" s="3">
        <v>0</v>
      </c>
      <c r="L195" s="3">
        <v>0</v>
      </c>
      <c r="M195" s="3">
        <v>0</v>
      </c>
      <c r="N195" s="3">
        <v>30000</v>
      </c>
      <c r="O195" s="3">
        <v>0</v>
      </c>
      <c r="P195" s="3">
        <v>30000</v>
      </c>
    </row>
    <row r="196" spans="1:16" s="3" customFormat="1">
      <c r="A196" s="3" t="s">
        <v>2762</v>
      </c>
      <c r="B196" s="4">
        <v>17</v>
      </c>
      <c r="C196" s="3" t="s">
        <v>10</v>
      </c>
      <c r="D196" s="3" t="s">
        <v>11</v>
      </c>
      <c r="E196" s="3">
        <f>+IFERROR(VLOOKUP(A196,TB!$A$12:$C$403,2,),0)</f>
        <v>0</v>
      </c>
      <c r="G196" s="3">
        <f t="shared" si="14"/>
        <v>0</v>
      </c>
      <c r="H196" s="3">
        <f>+IFERROR(VLOOKUP(A196,TB!$A$12:$C$403,3,),0)</f>
        <v>27000</v>
      </c>
      <c r="J196" s="3">
        <f t="shared" si="15"/>
        <v>27000</v>
      </c>
      <c r="K196" s="3">
        <v>0</v>
      </c>
      <c r="L196" s="3">
        <v>0</v>
      </c>
      <c r="M196" s="3">
        <v>0</v>
      </c>
      <c r="N196" s="3">
        <v>0</v>
      </c>
      <c r="O196" s="3">
        <v>0</v>
      </c>
      <c r="P196" s="3">
        <v>0</v>
      </c>
    </row>
    <row r="197" spans="1:16" s="3" customFormat="1">
      <c r="A197" s="3" t="s">
        <v>202</v>
      </c>
      <c r="B197" s="4">
        <v>27</v>
      </c>
      <c r="C197" s="3" t="s">
        <v>51</v>
      </c>
      <c r="D197" s="3" t="s">
        <v>52</v>
      </c>
      <c r="E197" s="3">
        <f>+IFERROR(VLOOKUP(A197,TB!$A$12:$C$403,2,),0)</f>
        <v>36000</v>
      </c>
      <c r="G197" s="3">
        <f t="shared" si="14"/>
        <v>36000</v>
      </c>
      <c r="H197" s="3">
        <f>+IFERROR(VLOOKUP(A197,TB!$A$12:$C$403,3,),0)</f>
        <v>0</v>
      </c>
      <c r="J197" s="3">
        <f t="shared" si="15"/>
        <v>0</v>
      </c>
      <c r="K197" s="3">
        <v>18000</v>
      </c>
      <c r="L197" s="3">
        <v>0</v>
      </c>
      <c r="M197" s="3">
        <v>18000</v>
      </c>
      <c r="N197" s="3">
        <v>0</v>
      </c>
      <c r="O197" s="3">
        <v>0</v>
      </c>
      <c r="P197" s="3">
        <v>0</v>
      </c>
    </row>
    <row r="198" spans="1:16" s="3" customFormat="1">
      <c r="A198" s="3" t="s">
        <v>203</v>
      </c>
      <c r="B198" s="4">
        <v>17</v>
      </c>
      <c r="C198" s="3" t="s">
        <v>10</v>
      </c>
      <c r="D198" s="3" t="s">
        <v>11</v>
      </c>
      <c r="E198" s="3">
        <f>+IFERROR(VLOOKUP(A198,TB!$A$12:$C$403,2,),0)</f>
        <v>0</v>
      </c>
      <c r="G198" s="3">
        <f t="shared" si="14"/>
        <v>0</v>
      </c>
      <c r="H198" s="3">
        <f>+IFERROR(VLOOKUP(A198,TB!$A$12:$C$403,3,),0)</f>
        <v>75205</v>
      </c>
      <c r="J198" s="3">
        <f t="shared" si="15"/>
        <v>75205</v>
      </c>
      <c r="K198" s="3">
        <v>0</v>
      </c>
      <c r="L198" s="3">
        <v>0</v>
      </c>
      <c r="M198" s="3">
        <v>0</v>
      </c>
      <c r="N198" s="3">
        <v>0</v>
      </c>
      <c r="O198" s="3">
        <v>0</v>
      </c>
      <c r="P198" s="3">
        <v>0</v>
      </c>
    </row>
    <row r="199" spans="1:16" s="3" customFormat="1">
      <c r="A199" s="3" t="s">
        <v>204</v>
      </c>
      <c r="B199" s="4">
        <v>13</v>
      </c>
      <c r="C199" s="3" t="s">
        <v>47</v>
      </c>
      <c r="D199" s="3" t="s">
        <v>48</v>
      </c>
      <c r="E199" s="3">
        <f>+IFERROR(VLOOKUP(A199,TB!$A$12:$C$403,2,),0)</f>
        <v>0</v>
      </c>
      <c r="G199" s="3">
        <f t="shared" si="14"/>
        <v>0</v>
      </c>
      <c r="H199" s="3">
        <f>+IFERROR(VLOOKUP(A199,TB!$A$12:$C$403,3,),0)</f>
        <v>1418464</v>
      </c>
      <c r="J199" s="3">
        <f t="shared" si="15"/>
        <v>1418464</v>
      </c>
      <c r="K199" s="3">
        <v>0</v>
      </c>
      <c r="L199" s="3">
        <v>0</v>
      </c>
      <c r="M199" s="3">
        <v>0</v>
      </c>
      <c r="N199" s="3">
        <v>1320768</v>
      </c>
      <c r="O199" s="3">
        <v>0</v>
      </c>
      <c r="P199" s="3">
        <v>1320768</v>
      </c>
    </row>
    <row r="200" spans="1:16" s="3" customFormat="1">
      <c r="A200" s="3" t="s">
        <v>205</v>
      </c>
      <c r="B200" s="4">
        <v>9</v>
      </c>
      <c r="C200" s="3" t="s">
        <v>37</v>
      </c>
      <c r="D200" s="3" t="s">
        <v>38</v>
      </c>
      <c r="E200" s="3">
        <f>+IFERROR(VLOOKUP(A200,TB!$A$12:$C$403,2,),0)</f>
        <v>34000</v>
      </c>
      <c r="G200" s="3">
        <f t="shared" si="14"/>
        <v>34000</v>
      </c>
      <c r="H200" s="3">
        <f>+IFERROR(VLOOKUP(A200,TB!$A$12:$C$403,3,),0)</f>
        <v>0</v>
      </c>
      <c r="J200" s="3">
        <f t="shared" si="15"/>
        <v>0</v>
      </c>
      <c r="K200" s="3">
        <v>15000</v>
      </c>
      <c r="L200" s="3">
        <v>0</v>
      </c>
      <c r="M200" s="3">
        <v>15000</v>
      </c>
      <c r="N200" s="3">
        <v>0</v>
      </c>
      <c r="O200" s="3">
        <v>0</v>
      </c>
      <c r="P200" s="3">
        <v>0</v>
      </c>
    </row>
    <row r="201" spans="1:16" s="3" customFormat="1">
      <c r="A201" s="3" t="s">
        <v>206</v>
      </c>
      <c r="B201" s="4">
        <v>17</v>
      </c>
      <c r="C201" s="3" t="s">
        <v>10</v>
      </c>
      <c r="D201" s="3" t="s">
        <v>10</v>
      </c>
      <c r="E201" s="3">
        <f>+IFERROR(VLOOKUP(A201,TB!$A$12:$C$403,2,),0)</f>
        <v>0</v>
      </c>
      <c r="G201" s="3">
        <f t="shared" si="14"/>
        <v>0</v>
      </c>
      <c r="H201" s="3">
        <f>+IFERROR(VLOOKUP(A201,TB!$A$12:$C$403,3,),0)</f>
        <v>238416</v>
      </c>
      <c r="J201" s="3">
        <f t="shared" si="15"/>
        <v>238416</v>
      </c>
      <c r="K201" s="3">
        <v>0</v>
      </c>
      <c r="L201" s="3">
        <v>0</v>
      </c>
      <c r="M201" s="3">
        <v>0</v>
      </c>
      <c r="N201" s="3">
        <v>114473</v>
      </c>
      <c r="O201" s="3">
        <v>0</v>
      </c>
      <c r="P201" s="3">
        <v>114473</v>
      </c>
    </row>
    <row r="202" spans="1:16" s="3" customFormat="1">
      <c r="A202" s="3" t="s">
        <v>207</v>
      </c>
      <c r="B202" s="4">
        <v>27</v>
      </c>
      <c r="C202" s="3" t="s">
        <v>51</v>
      </c>
      <c r="D202" s="3" t="s">
        <v>208</v>
      </c>
      <c r="E202" s="3">
        <f>+IFERROR(VLOOKUP(A202,TB!$A$12:$C$403,2,),0)</f>
        <v>32000</v>
      </c>
      <c r="G202" s="3">
        <f t="shared" si="14"/>
        <v>32000</v>
      </c>
      <c r="H202" s="3">
        <f>+IFERROR(VLOOKUP(A202,TB!$A$12:$C$403,3,),0)</f>
        <v>0</v>
      </c>
      <c r="J202" s="3">
        <f t="shared" si="15"/>
        <v>0</v>
      </c>
      <c r="K202" s="3">
        <v>48000</v>
      </c>
      <c r="L202" s="3">
        <v>0</v>
      </c>
      <c r="M202" s="3">
        <v>48000</v>
      </c>
      <c r="N202" s="3">
        <v>0</v>
      </c>
      <c r="O202" s="3">
        <v>0</v>
      </c>
      <c r="P202" s="3">
        <v>0</v>
      </c>
    </row>
    <row r="203" spans="1:16" s="3" customFormat="1">
      <c r="A203" s="3" t="s">
        <v>209</v>
      </c>
      <c r="B203" s="4">
        <v>23</v>
      </c>
      <c r="C203" s="3" t="s">
        <v>102</v>
      </c>
      <c r="D203" s="3" t="s">
        <v>103</v>
      </c>
      <c r="E203" s="3">
        <f>+IFERROR(VLOOKUP(A203,TB!$A$12:$C$403,2,),0)</f>
        <v>205342673</v>
      </c>
      <c r="G203" s="3">
        <f t="shared" ref="G203:G232" si="18">+E203+F203</f>
        <v>205342673</v>
      </c>
      <c r="H203" s="3">
        <f>+IFERROR(VLOOKUP(A203,TB!$A$12:$C$403,3,),0)</f>
        <v>0</v>
      </c>
      <c r="J203" s="3">
        <f t="shared" ref="J203:J232" si="19">+H203+I203</f>
        <v>0</v>
      </c>
      <c r="K203" s="3">
        <v>142111717</v>
      </c>
      <c r="L203" s="3">
        <v>0</v>
      </c>
      <c r="M203" s="3">
        <v>142111717</v>
      </c>
      <c r="N203" s="3">
        <v>0</v>
      </c>
      <c r="O203" s="3">
        <v>0</v>
      </c>
      <c r="P203" s="3">
        <v>0</v>
      </c>
    </row>
    <row r="204" spans="1:16" s="3" customFormat="1">
      <c r="A204" s="3" t="s">
        <v>210</v>
      </c>
      <c r="B204" s="4">
        <v>20</v>
      </c>
      <c r="C204" s="3" t="s">
        <v>211</v>
      </c>
      <c r="D204" s="3" t="s">
        <v>139</v>
      </c>
      <c r="E204" s="3">
        <f>+IFERROR(VLOOKUP(A204,TB!$A$12:$C$403,2,),0)</f>
        <v>0</v>
      </c>
      <c r="G204" s="3">
        <f t="shared" si="18"/>
        <v>0</v>
      </c>
      <c r="H204" s="3">
        <f>+IFERROR(VLOOKUP(A204,TB!$A$12:$C$403,3,),0)</f>
        <v>0</v>
      </c>
      <c r="J204" s="3">
        <f t="shared" si="19"/>
        <v>0</v>
      </c>
      <c r="K204" s="3">
        <v>0</v>
      </c>
      <c r="L204" s="3">
        <v>0</v>
      </c>
      <c r="M204" s="3">
        <v>0</v>
      </c>
      <c r="N204" s="3">
        <v>1486209</v>
      </c>
      <c r="O204" s="3">
        <v>0</v>
      </c>
      <c r="P204" s="3">
        <v>1486209</v>
      </c>
    </row>
    <row r="205" spans="1:16" s="3" customFormat="1">
      <c r="A205" s="3" t="s">
        <v>212</v>
      </c>
      <c r="B205" s="4">
        <v>25</v>
      </c>
      <c r="C205" s="3" t="s">
        <v>155</v>
      </c>
      <c r="D205" s="3" t="s">
        <v>156</v>
      </c>
      <c r="E205" s="3">
        <f>+IFERROR(VLOOKUP(A205,TB!$A$12:$C$403,2,),0)</f>
        <v>0</v>
      </c>
      <c r="G205" s="3">
        <f t="shared" si="18"/>
        <v>0</v>
      </c>
      <c r="H205" s="3">
        <f>+IFERROR(VLOOKUP(A205,TB!$A$12:$C$403,3,),0)</f>
        <v>813182</v>
      </c>
      <c r="J205" s="3">
        <f t="shared" si="19"/>
        <v>813182</v>
      </c>
      <c r="K205" s="3">
        <v>1234315</v>
      </c>
      <c r="L205" s="3">
        <v>0</v>
      </c>
      <c r="M205" s="3">
        <v>1234315</v>
      </c>
      <c r="N205" s="3">
        <v>0</v>
      </c>
      <c r="O205" s="3">
        <v>0</v>
      </c>
      <c r="P205" s="3">
        <v>0</v>
      </c>
    </row>
    <row r="206" spans="1:16" s="3" customFormat="1">
      <c r="A206" s="3" t="s">
        <v>213</v>
      </c>
      <c r="B206" s="4">
        <v>17</v>
      </c>
      <c r="C206" s="3" t="s">
        <v>10</v>
      </c>
      <c r="D206" s="3" t="s">
        <v>10</v>
      </c>
      <c r="E206" s="3">
        <f>+IFERROR(VLOOKUP(A206,TB!$A$12:$C$403,2,),0)</f>
        <v>0</v>
      </c>
      <c r="G206" s="3">
        <f t="shared" si="18"/>
        <v>0</v>
      </c>
      <c r="H206" s="3">
        <f>+IFERROR(VLOOKUP(A206,TB!$A$12:$C$403,3,),0)</f>
        <v>0</v>
      </c>
      <c r="J206" s="3">
        <f t="shared" si="19"/>
        <v>0</v>
      </c>
      <c r="K206" s="3">
        <v>0</v>
      </c>
      <c r="L206" s="3">
        <v>0</v>
      </c>
      <c r="M206" s="3">
        <v>0</v>
      </c>
      <c r="N206" s="3">
        <v>708000</v>
      </c>
      <c r="O206" s="3">
        <v>0</v>
      </c>
      <c r="P206" s="3">
        <v>708000</v>
      </c>
    </row>
    <row r="207" spans="1:16" s="3" customFormat="1">
      <c r="A207" s="3" t="s">
        <v>214</v>
      </c>
      <c r="B207" s="4">
        <v>27</v>
      </c>
      <c r="C207" s="3" t="s">
        <v>30</v>
      </c>
      <c r="D207" s="3" t="s">
        <v>215</v>
      </c>
      <c r="E207" s="3">
        <f>+IFERROR(VLOOKUP(A207,TB!$A$12:$C$403,2,),0)</f>
        <v>250506</v>
      </c>
      <c r="G207" s="3">
        <f t="shared" si="18"/>
        <v>250506</v>
      </c>
      <c r="H207" s="3">
        <f>+IFERROR(VLOOKUP(A207,TB!$A$12:$C$403,3,),0)</f>
        <v>0</v>
      </c>
      <c r="J207" s="3">
        <f t="shared" si="19"/>
        <v>0</v>
      </c>
      <c r="K207" s="3">
        <v>369150</v>
      </c>
      <c r="L207" s="3">
        <v>0</v>
      </c>
      <c r="M207" s="3">
        <v>369150</v>
      </c>
      <c r="N207" s="3">
        <v>0</v>
      </c>
      <c r="O207" s="3">
        <v>0</v>
      </c>
      <c r="P207" s="3">
        <v>0</v>
      </c>
    </row>
    <row r="208" spans="1:16" s="3" customFormat="1">
      <c r="A208" s="3" t="s">
        <v>216</v>
      </c>
      <c r="B208" s="4">
        <v>27</v>
      </c>
      <c r="C208" s="3" t="s">
        <v>51</v>
      </c>
      <c r="D208" s="3" t="s">
        <v>217</v>
      </c>
      <c r="E208" s="3">
        <f>+IFERROR(VLOOKUP(A208,TB!$A$12:$C$403,2,),0)</f>
        <v>1422847</v>
      </c>
      <c r="G208" s="3">
        <f t="shared" si="18"/>
        <v>1422847</v>
      </c>
      <c r="H208" s="3">
        <f>+IFERROR(VLOOKUP(A208,TB!$A$12:$C$403,3,),0)</f>
        <v>0</v>
      </c>
      <c r="J208" s="3">
        <f t="shared" si="19"/>
        <v>0</v>
      </c>
      <c r="K208" s="3">
        <v>1140533</v>
      </c>
      <c r="L208" s="3">
        <v>0</v>
      </c>
      <c r="M208" s="3">
        <v>1140533</v>
      </c>
      <c r="N208" s="3">
        <v>0</v>
      </c>
      <c r="O208" s="3">
        <v>0</v>
      </c>
      <c r="P208" s="3">
        <v>0</v>
      </c>
    </row>
    <row r="209" spans="1:16" s="3" customFormat="1">
      <c r="A209" s="3" t="s">
        <v>218</v>
      </c>
      <c r="B209" s="4">
        <v>10</v>
      </c>
      <c r="C209" s="3" t="s">
        <v>34</v>
      </c>
      <c r="D209" s="3" t="s">
        <v>219</v>
      </c>
      <c r="E209" s="3">
        <f>+IFERROR(VLOOKUP(A209,TB!$A$12:$C$403,2,),0)</f>
        <v>176191</v>
      </c>
      <c r="G209" s="3">
        <f t="shared" si="18"/>
        <v>176191</v>
      </c>
      <c r="H209" s="3">
        <f>+IFERROR(VLOOKUP(A209,TB!$A$12:$C$403,3,),0)</f>
        <v>0</v>
      </c>
      <c r="J209" s="3">
        <f t="shared" si="19"/>
        <v>0</v>
      </c>
      <c r="K209" s="3">
        <v>360609</v>
      </c>
      <c r="L209" s="3">
        <v>0</v>
      </c>
      <c r="M209" s="3">
        <v>360609</v>
      </c>
      <c r="N209" s="3">
        <v>0</v>
      </c>
      <c r="O209" s="3">
        <v>0</v>
      </c>
      <c r="P209" s="3">
        <v>0</v>
      </c>
    </row>
    <row r="210" spans="1:16" s="3" customFormat="1">
      <c r="A210" s="3" t="s">
        <v>220</v>
      </c>
      <c r="B210" s="4">
        <v>10</v>
      </c>
      <c r="C210" s="3" t="s">
        <v>34</v>
      </c>
      <c r="D210" s="3" t="s">
        <v>221</v>
      </c>
      <c r="E210" s="3">
        <f>+IFERROR(VLOOKUP(A210,TB!$A$12:$C$403,2,),0)</f>
        <v>458043</v>
      </c>
      <c r="G210" s="3">
        <f t="shared" si="18"/>
        <v>458043</v>
      </c>
      <c r="H210" s="3">
        <f>+IFERROR(VLOOKUP(A210,TB!$A$12:$C$403,3,),0)</f>
        <v>0</v>
      </c>
      <c r="J210" s="3">
        <f t="shared" si="19"/>
        <v>0</v>
      </c>
      <c r="K210" s="3">
        <v>579346</v>
      </c>
      <c r="L210" s="3">
        <v>0</v>
      </c>
      <c r="M210" s="3">
        <v>579346</v>
      </c>
      <c r="N210" s="3">
        <v>0</v>
      </c>
      <c r="O210" s="3">
        <v>0</v>
      </c>
      <c r="P210" s="3">
        <v>0</v>
      </c>
    </row>
    <row r="211" spans="1:16" s="3" customFormat="1">
      <c r="A211" s="3" t="s">
        <v>222</v>
      </c>
      <c r="B211" s="4">
        <v>17</v>
      </c>
      <c r="C211" s="3" t="s">
        <v>10</v>
      </c>
      <c r="D211" s="3" t="s">
        <v>10</v>
      </c>
      <c r="E211" s="3">
        <f>+IFERROR(VLOOKUP(A211,TB!$A$12:$C$403,2,),0)</f>
        <v>0</v>
      </c>
      <c r="G211" s="3">
        <f t="shared" si="18"/>
        <v>0</v>
      </c>
      <c r="H211" s="3">
        <f>+IFERROR(VLOOKUP(A211,TB!$A$12:$C$403,3,),0)</f>
        <v>0</v>
      </c>
      <c r="J211" s="3">
        <f t="shared" si="19"/>
        <v>0</v>
      </c>
      <c r="K211" s="3">
        <v>11945</v>
      </c>
      <c r="L211" s="3">
        <v>0</v>
      </c>
      <c r="M211" s="3">
        <v>11945</v>
      </c>
      <c r="N211" s="3">
        <v>0</v>
      </c>
      <c r="O211" s="3">
        <v>0</v>
      </c>
      <c r="P211" s="3">
        <v>0</v>
      </c>
    </row>
    <row r="212" spans="1:16" s="3" customFormat="1">
      <c r="A212" s="3" t="s">
        <v>223</v>
      </c>
      <c r="B212" s="4">
        <v>22</v>
      </c>
      <c r="C212" s="3" t="s">
        <v>59</v>
      </c>
      <c r="D212" s="3" t="s">
        <v>224</v>
      </c>
      <c r="E212" s="3">
        <f>+IFERROR(VLOOKUP(A212,TB!$A$12:$C$403,2,),0)</f>
        <v>0</v>
      </c>
      <c r="G212" s="3">
        <f t="shared" si="18"/>
        <v>0</v>
      </c>
      <c r="H212" s="3">
        <f>+IFERROR(VLOOKUP(A212,TB!$A$12:$C$403,3,),0)</f>
        <v>202145.39</v>
      </c>
      <c r="J212" s="3">
        <f t="shared" si="19"/>
        <v>202145.39</v>
      </c>
      <c r="K212" s="3">
        <v>0</v>
      </c>
      <c r="L212" s="3">
        <v>0</v>
      </c>
      <c r="M212" s="3">
        <v>0</v>
      </c>
      <c r="N212" s="3">
        <v>160002.60999999999</v>
      </c>
      <c r="O212" s="3">
        <v>0</v>
      </c>
      <c r="P212" s="3">
        <v>160002.60999999999</v>
      </c>
    </row>
    <row r="213" spans="1:16" s="3" customFormat="1">
      <c r="A213" s="3" t="s">
        <v>226</v>
      </c>
      <c r="B213" s="4">
        <v>26</v>
      </c>
      <c r="C213" s="3" t="s">
        <v>71</v>
      </c>
      <c r="D213" s="3" t="s">
        <v>225</v>
      </c>
      <c r="E213" s="3">
        <f>+IFERROR(VLOOKUP(A213,TB!$A$12:$C$403,2,),0)</f>
        <v>0</v>
      </c>
      <c r="G213" s="3">
        <f t="shared" si="18"/>
        <v>0</v>
      </c>
      <c r="H213" s="3">
        <f>+IFERROR(VLOOKUP(A213,TB!$A$12:$C$403,3,),0)</f>
        <v>0</v>
      </c>
      <c r="J213" s="3">
        <f t="shared" si="19"/>
        <v>0</v>
      </c>
      <c r="K213" s="3">
        <v>115865.81</v>
      </c>
      <c r="L213" s="3">
        <v>0</v>
      </c>
      <c r="M213" s="3">
        <v>115865.81</v>
      </c>
      <c r="N213" s="3">
        <v>0</v>
      </c>
      <c r="O213" s="3">
        <v>0</v>
      </c>
      <c r="P213" s="3">
        <v>0</v>
      </c>
    </row>
    <row r="214" spans="1:16" s="3" customFormat="1">
      <c r="A214" s="3" t="s">
        <v>227</v>
      </c>
      <c r="B214" s="4">
        <v>26</v>
      </c>
      <c r="C214" s="3" t="s">
        <v>71</v>
      </c>
      <c r="D214" s="3" t="s">
        <v>225</v>
      </c>
      <c r="E214" s="3">
        <f>+IFERROR(VLOOKUP(A214,TB!$A$12:$C$403,2,),0)</f>
        <v>0</v>
      </c>
      <c r="G214" s="3">
        <f t="shared" si="18"/>
        <v>0</v>
      </c>
      <c r="H214" s="3">
        <f>+IFERROR(VLOOKUP(A214,TB!$A$12:$C$403,3,),0)</f>
        <v>0</v>
      </c>
      <c r="J214" s="3">
        <f t="shared" si="19"/>
        <v>0</v>
      </c>
      <c r="K214" s="3">
        <v>143075.34</v>
      </c>
      <c r="L214" s="3">
        <v>0</v>
      </c>
      <c r="M214" s="3">
        <v>143075.34</v>
      </c>
      <c r="N214" s="3">
        <v>0</v>
      </c>
      <c r="O214" s="3">
        <v>0</v>
      </c>
      <c r="P214" s="3">
        <v>0</v>
      </c>
    </row>
    <row r="215" spans="1:16" s="3" customFormat="1">
      <c r="A215" s="3" t="s">
        <v>228</v>
      </c>
      <c r="B215" s="4">
        <v>27</v>
      </c>
      <c r="C215" s="3" t="s">
        <v>51</v>
      </c>
      <c r="D215" s="3" t="s">
        <v>87</v>
      </c>
      <c r="E215" s="3">
        <f>+IFERROR(VLOOKUP(A215,TB!$A$12:$C$403,2,),0)</f>
        <v>29309</v>
      </c>
      <c r="G215" s="3">
        <f t="shared" si="18"/>
        <v>29309</v>
      </c>
      <c r="H215" s="3">
        <f>+IFERROR(VLOOKUP(A215,TB!$A$12:$C$403,3,),0)</f>
        <v>0</v>
      </c>
      <c r="J215" s="3">
        <f t="shared" si="19"/>
        <v>0</v>
      </c>
      <c r="K215" s="3">
        <v>28228</v>
      </c>
      <c r="L215" s="3">
        <v>0</v>
      </c>
      <c r="M215" s="3">
        <v>28228</v>
      </c>
      <c r="N215" s="3">
        <v>0</v>
      </c>
      <c r="O215" s="3">
        <v>0</v>
      </c>
      <c r="P215" s="3">
        <v>0</v>
      </c>
    </row>
    <row r="216" spans="1:16" s="3" customFormat="1">
      <c r="A216" s="3" t="s">
        <v>229</v>
      </c>
      <c r="B216" s="4">
        <v>27</v>
      </c>
      <c r="C216" s="3" t="s">
        <v>51</v>
      </c>
      <c r="D216" s="3" t="s">
        <v>87</v>
      </c>
      <c r="E216" s="3">
        <f>+IFERROR(VLOOKUP(A216,TB!$A$12:$C$403,2,),0)</f>
        <v>61959</v>
      </c>
      <c r="G216" s="3">
        <f t="shared" si="18"/>
        <v>61959</v>
      </c>
      <c r="H216" s="3">
        <f>+IFERROR(VLOOKUP(A216,TB!$A$12:$C$403,3,),0)</f>
        <v>0</v>
      </c>
      <c r="J216" s="3">
        <f t="shared" si="19"/>
        <v>0</v>
      </c>
      <c r="K216" s="3">
        <v>14597</v>
      </c>
      <c r="L216" s="3">
        <v>0</v>
      </c>
      <c r="M216" s="3">
        <v>14597</v>
      </c>
      <c r="N216" s="3">
        <v>0</v>
      </c>
      <c r="O216" s="3">
        <v>0</v>
      </c>
      <c r="P216" s="3">
        <v>0</v>
      </c>
    </row>
    <row r="217" spans="1:16" s="3" customFormat="1">
      <c r="A217" s="3" t="s">
        <v>230</v>
      </c>
      <c r="B217" s="4">
        <v>27</v>
      </c>
      <c r="C217" s="3" t="s">
        <v>51</v>
      </c>
      <c r="D217" s="3" t="s">
        <v>87</v>
      </c>
      <c r="E217" s="3">
        <f>+IFERROR(VLOOKUP(A217,TB!$A$12:$C$403,2,),0)</f>
        <v>668</v>
      </c>
      <c r="G217" s="3">
        <f t="shared" si="18"/>
        <v>668</v>
      </c>
      <c r="H217" s="3">
        <f>+IFERROR(VLOOKUP(A217,TB!$A$12:$C$403,3,),0)</f>
        <v>0</v>
      </c>
      <c r="J217" s="3">
        <f t="shared" si="19"/>
        <v>0</v>
      </c>
      <c r="K217" s="3">
        <v>11403</v>
      </c>
      <c r="L217" s="3">
        <v>0</v>
      </c>
      <c r="M217" s="3">
        <v>11403</v>
      </c>
      <c r="N217" s="3">
        <v>0</v>
      </c>
      <c r="O217" s="3">
        <v>0</v>
      </c>
      <c r="P217" s="3">
        <v>0</v>
      </c>
    </row>
    <row r="218" spans="1:16" s="3" customFormat="1">
      <c r="A218" s="3" t="s">
        <v>231</v>
      </c>
      <c r="B218" s="4">
        <v>27</v>
      </c>
      <c r="C218" s="3" t="s">
        <v>51</v>
      </c>
      <c r="D218" s="3" t="s">
        <v>87</v>
      </c>
      <c r="E218" s="3">
        <f>+IFERROR(VLOOKUP(A218,TB!$A$12:$C$403,2,),0)</f>
        <v>0</v>
      </c>
      <c r="G218" s="3">
        <f t="shared" si="18"/>
        <v>0</v>
      </c>
      <c r="H218" s="3">
        <f>+IFERROR(VLOOKUP(A218,TB!$A$12:$C$403,3,),0)</f>
        <v>0</v>
      </c>
      <c r="J218" s="3">
        <f t="shared" si="19"/>
        <v>0</v>
      </c>
      <c r="K218" s="3">
        <v>154003</v>
      </c>
      <c r="L218" s="3">
        <v>0</v>
      </c>
      <c r="M218" s="3">
        <v>154003</v>
      </c>
      <c r="N218" s="3">
        <v>0</v>
      </c>
      <c r="O218" s="3">
        <v>0</v>
      </c>
      <c r="P218" s="3">
        <v>0</v>
      </c>
    </row>
    <row r="219" spans="1:16" s="3" customFormat="1">
      <c r="A219" s="3" t="s">
        <v>232</v>
      </c>
      <c r="B219" s="4">
        <v>27</v>
      </c>
      <c r="C219" s="3" t="s">
        <v>51</v>
      </c>
      <c r="D219" s="3" t="s">
        <v>87</v>
      </c>
      <c r="E219" s="3">
        <f>+IFERROR(VLOOKUP(A219,TB!$A$12:$C$403,2,),0)</f>
        <v>2700</v>
      </c>
      <c r="G219" s="3">
        <f t="shared" si="18"/>
        <v>2700</v>
      </c>
      <c r="H219" s="3">
        <f>+IFERROR(VLOOKUP(A219,TB!$A$12:$C$403,3,),0)</f>
        <v>0</v>
      </c>
      <c r="J219" s="3">
        <f t="shared" si="19"/>
        <v>0</v>
      </c>
      <c r="K219" s="3">
        <v>2716</v>
      </c>
      <c r="L219" s="3">
        <v>0</v>
      </c>
      <c r="M219" s="3">
        <v>2716</v>
      </c>
      <c r="N219" s="3">
        <v>0</v>
      </c>
      <c r="O219" s="3">
        <v>0</v>
      </c>
      <c r="P219" s="3">
        <v>0</v>
      </c>
    </row>
    <row r="220" spans="1:16" s="3" customFormat="1">
      <c r="A220" s="3" t="s">
        <v>233</v>
      </c>
      <c r="B220" s="4">
        <v>27</v>
      </c>
      <c r="C220" s="3" t="s">
        <v>51</v>
      </c>
      <c r="D220" s="3" t="s">
        <v>87</v>
      </c>
      <c r="E220" s="3">
        <f>+IFERROR(VLOOKUP(A220,TB!$A$12:$C$403,2,),0)</f>
        <v>35488</v>
      </c>
      <c r="G220" s="3">
        <f t="shared" si="18"/>
        <v>35488</v>
      </c>
      <c r="H220" s="3">
        <f>+IFERROR(VLOOKUP(A220,TB!$A$12:$C$403,3,),0)</f>
        <v>0</v>
      </c>
      <c r="J220" s="3">
        <f t="shared" si="19"/>
        <v>0</v>
      </c>
      <c r="K220" s="3">
        <v>44863</v>
      </c>
      <c r="L220" s="3">
        <v>0</v>
      </c>
      <c r="M220" s="3">
        <v>44863</v>
      </c>
      <c r="N220" s="3">
        <v>0</v>
      </c>
      <c r="O220" s="3">
        <v>0</v>
      </c>
      <c r="P220" s="3">
        <v>0</v>
      </c>
    </row>
    <row r="221" spans="1:16" s="3" customFormat="1">
      <c r="A221" s="3" t="s">
        <v>234</v>
      </c>
      <c r="B221" s="4">
        <v>27</v>
      </c>
      <c r="C221" s="3" t="s">
        <v>51</v>
      </c>
      <c r="D221" s="3" t="s">
        <v>87</v>
      </c>
      <c r="E221" s="3">
        <f>+IFERROR(VLOOKUP(A221,TB!$A$12:$C$403,2,),0)</f>
        <v>4618</v>
      </c>
      <c r="G221" s="3">
        <f t="shared" si="18"/>
        <v>4618</v>
      </c>
      <c r="H221" s="3">
        <f>+IFERROR(VLOOKUP(A221,TB!$A$12:$C$403,3,),0)</f>
        <v>0</v>
      </c>
      <c r="J221" s="3">
        <f t="shared" si="19"/>
        <v>0</v>
      </c>
      <c r="K221" s="3">
        <v>6791</v>
      </c>
      <c r="L221" s="3">
        <v>0</v>
      </c>
      <c r="M221" s="3">
        <v>6791</v>
      </c>
      <c r="N221" s="3">
        <v>0</v>
      </c>
      <c r="O221" s="3">
        <v>0</v>
      </c>
      <c r="P221" s="3">
        <v>0</v>
      </c>
    </row>
    <row r="222" spans="1:16" s="3" customFormat="1">
      <c r="A222" s="3" t="s">
        <v>236</v>
      </c>
      <c r="B222" s="4">
        <v>26</v>
      </c>
      <c r="C222" s="3" t="s">
        <v>71</v>
      </c>
      <c r="D222" s="3" t="s">
        <v>225</v>
      </c>
      <c r="E222" s="3">
        <f>+IFERROR(VLOOKUP(A222,TB!$A$12:$C$403,2,),0)</f>
        <v>6463408</v>
      </c>
      <c r="G222" s="3">
        <f t="shared" si="18"/>
        <v>6463408</v>
      </c>
      <c r="H222" s="3">
        <f>+IFERROR(VLOOKUP(A222,TB!$A$12:$C$403,3,),0)</f>
        <v>0</v>
      </c>
      <c r="J222" s="3">
        <f t="shared" si="19"/>
        <v>0</v>
      </c>
      <c r="K222" s="3">
        <v>4146914</v>
      </c>
      <c r="L222" s="3">
        <v>0</v>
      </c>
      <c r="M222" s="3">
        <v>4146914</v>
      </c>
      <c r="N222" s="3">
        <v>0</v>
      </c>
      <c r="O222" s="3">
        <v>0</v>
      </c>
      <c r="P222" s="3">
        <v>0</v>
      </c>
    </row>
    <row r="223" spans="1:16" s="3" customFormat="1">
      <c r="A223" s="3" t="s">
        <v>237</v>
      </c>
      <c r="B223" s="4">
        <v>26</v>
      </c>
      <c r="C223" s="3" t="s">
        <v>71</v>
      </c>
      <c r="D223" s="3" t="s">
        <v>225</v>
      </c>
      <c r="E223" s="3">
        <f>+IFERROR(VLOOKUP(A223,TB!$A$12:$C$403,2,),0)</f>
        <v>1926416</v>
      </c>
      <c r="G223" s="3">
        <f t="shared" si="18"/>
        <v>1926416</v>
      </c>
      <c r="H223" s="3">
        <f>+IFERROR(VLOOKUP(A223,TB!$A$12:$C$403,3,),0)</f>
        <v>0</v>
      </c>
      <c r="J223" s="3">
        <f t="shared" si="19"/>
        <v>0</v>
      </c>
      <c r="K223" s="3">
        <v>1795701</v>
      </c>
      <c r="L223" s="3">
        <v>0</v>
      </c>
      <c r="M223" s="3">
        <v>1795701</v>
      </c>
      <c r="N223" s="3">
        <v>0</v>
      </c>
      <c r="O223" s="3">
        <v>0</v>
      </c>
      <c r="P223" s="3">
        <v>0</v>
      </c>
    </row>
    <row r="224" spans="1:16" s="3" customFormat="1">
      <c r="A224" s="3" t="s">
        <v>238</v>
      </c>
      <c r="B224" s="4">
        <v>27</v>
      </c>
      <c r="C224" s="3" t="s">
        <v>51</v>
      </c>
      <c r="D224" s="3" t="s">
        <v>239</v>
      </c>
      <c r="E224" s="3">
        <f>+IFERROR(VLOOKUP(A224,TB!$A$12:$C$403,2,),0)</f>
        <v>200000</v>
      </c>
      <c r="G224" s="3">
        <f t="shared" si="18"/>
        <v>200000</v>
      </c>
      <c r="H224" s="3">
        <f>+IFERROR(VLOOKUP(A224,TB!$A$12:$C$403,3,),0)</f>
        <v>0</v>
      </c>
      <c r="J224" s="3">
        <f t="shared" si="19"/>
        <v>0</v>
      </c>
      <c r="K224" s="3">
        <v>200000</v>
      </c>
      <c r="L224" s="3">
        <v>0</v>
      </c>
      <c r="M224" s="3">
        <v>200000</v>
      </c>
      <c r="N224" s="3">
        <v>0</v>
      </c>
      <c r="O224" s="3">
        <v>0</v>
      </c>
      <c r="P224" s="3">
        <v>0</v>
      </c>
    </row>
    <row r="225" spans="1:16" s="3" customFormat="1">
      <c r="A225" s="3" t="s">
        <v>240</v>
      </c>
      <c r="B225" s="4">
        <v>17</v>
      </c>
      <c r="C225" s="3" t="s">
        <v>10</v>
      </c>
      <c r="D225" s="3" t="s">
        <v>10</v>
      </c>
      <c r="E225" s="3">
        <f>+IFERROR(VLOOKUP(A225,TB!$A$12:$C$403,2,),0)</f>
        <v>0</v>
      </c>
      <c r="G225" s="3">
        <f t="shared" si="18"/>
        <v>0</v>
      </c>
      <c r="H225" s="3">
        <f>+IFERROR(VLOOKUP(A225,TB!$A$12:$C$403,3,),0)</f>
        <v>1780152</v>
      </c>
      <c r="J225" s="3">
        <f t="shared" si="19"/>
        <v>1780152</v>
      </c>
      <c r="K225" s="3">
        <v>0</v>
      </c>
      <c r="L225" s="3">
        <v>0</v>
      </c>
      <c r="M225" s="3">
        <v>0</v>
      </c>
      <c r="N225" s="3">
        <v>828637</v>
      </c>
      <c r="O225" s="3">
        <v>0</v>
      </c>
      <c r="P225" s="3">
        <v>828637</v>
      </c>
    </row>
    <row r="226" spans="1:16" s="3" customFormat="1">
      <c r="A226" s="3" t="s">
        <v>241</v>
      </c>
      <c r="B226" s="4">
        <v>17</v>
      </c>
      <c r="C226" s="3" t="s">
        <v>10</v>
      </c>
      <c r="D226" s="3" t="s">
        <v>10</v>
      </c>
      <c r="E226" s="3">
        <f>+IFERROR(VLOOKUP(A226,TB!$A$12:$C$403,2,),0)</f>
        <v>0</v>
      </c>
      <c r="G226" s="3">
        <f t="shared" si="18"/>
        <v>0</v>
      </c>
      <c r="H226" s="3">
        <f>+IFERROR(VLOOKUP(A226,TB!$A$12:$C$403,3,),0)</f>
        <v>2129493</v>
      </c>
      <c r="J226" s="3">
        <f t="shared" si="19"/>
        <v>2129493</v>
      </c>
      <c r="K226" s="3">
        <v>0</v>
      </c>
      <c r="L226" s="3">
        <v>0</v>
      </c>
      <c r="M226" s="3">
        <v>0</v>
      </c>
      <c r="N226" s="3">
        <v>2686453</v>
      </c>
      <c r="O226" s="3">
        <v>0</v>
      </c>
      <c r="P226" s="3">
        <v>2686453</v>
      </c>
    </row>
    <row r="227" spans="1:16" s="3" customFormat="1">
      <c r="A227" s="3" t="s">
        <v>242</v>
      </c>
      <c r="B227" s="4">
        <v>6</v>
      </c>
      <c r="C227" s="3" t="s">
        <v>15</v>
      </c>
      <c r="D227" s="3" t="s">
        <v>16</v>
      </c>
      <c r="E227" s="3">
        <f>+IFERROR(VLOOKUP(A227,TB!$A$12:$C$403,2,),0)</f>
        <v>231314</v>
      </c>
      <c r="G227" s="3">
        <f t="shared" si="18"/>
        <v>231314</v>
      </c>
      <c r="H227" s="3">
        <f>+IFERROR(VLOOKUP(A227,TB!$A$12:$C$403,3,),0)</f>
        <v>0</v>
      </c>
      <c r="J227" s="3">
        <f t="shared" si="19"/>
        <v>0</v>
      </c>
      <c r="K227" s="3">
        <v>0</v>
      </c>
      <c r="L227" s="3">
        <v>0</v>
      </c>
      <c r="M227" s="3">
        <v>0</v>
      </c>
      <c r="N227" s="3">
        <v>0</v>
      </c>
      <c r="O227" s="3">
        <v>0</v>
      </c>
      <c r="P227" s="3">
        <v>0</v>
      </c>
    </row>
    <row r="228" spans="1:16" s="3" customFormat="1">
      <c r="A228" s="3" t="s">
        <v>243</v>
      </c>
      <c r="B228" s="4">
        <v>4</v>
      </c>
      <c r="C228" s="3" t="s">
        <v>24</v>
      </c>
      <c r="D228" s="3" t="s">
        <v>25</v>
      </c>
      <c r="E228" s="3">
        <f>+IFERROR(VLOOKUP(A228,TB!$A$12:$C$403,2,),0)</f>
        <v>0</v>
      </c>
      <c r="G228" s="3">
        <f t="shared" si="18"/>
        <v>0</v>
      </c>
      <c r="H228" s="3">
        <f>+IFERROR(VLOOKUP(A228,TB!$A$12:$C$403,3,),0)</f>
        <v>0</v>
      </c>
      <c r="J228" s="3">
        <f t="shared" si="19"/>
        <v>0</v>
      </c>
      <c r="K228" s="3">
        <v>700000</v>
      </c>
      <c r="L228" s="3">
        <v>0</v>
      </c>
      <c r="M228" s="3">
        <v>700000</v>
      </c>
      <c r="N228" s="3">
        <v>0</v>
      </c>
      <c r="O228" s="3">
        <v>0</v>
      </c>
      <c r="P228" s="3">
        <v>0</v>
      </c>
    </row>
    <row r="229" spans="1:16" s="3" customFormat="1">
      <c r="A229" s="3" t="s">
        <v>244</v>
      </c>
      <c r="B229" s="4">
        <v>13</v>
      </c>
      <c r="C229" s="3" t="s">
        <v>47</v>
      </c>
      <c r="D229" s="3" t="s">
        <v>48</v>
      </c>
      <c r="E229" s="3">
        <f>+IFERROR(VLOOKUP(A229,TB!$A$12:$C$403,2,),0)</f>
        <v>0</v>
      </c>
      <c r="G229" s="3">
        <f t="shared" si="18"/>
        <v>0</v>
      </c>
      <c r="H229" s="3">
        <f>+IFERROR(VLOOKUP(A229,TB!$A$12:$C$403,3,),0)</f>
        <v>6623037</v>
      </c>
      <c r="J229" s="3">
        <f t="shared" si="19"/>
        <v>6623037</v>
      </c>
      <c r="K229" s="3">
        <v>0</v>
      </c>
      <c r="L229" s="3">
        <v>0</v>
      </c>
      <c r="M229" s="3">
        <v>0</v>
      </c>
      <c r="N229" s="3">
        <v>5747563</v>
      </c>
      <c r="O229" s="3">
        <v>0</v>
      </c>
      <c r="P229" s="3">
        <v>5747563</v>
      </c>
    </row>
    <row r="230" spans="1:16" s="3" customFormat="1">
      <c r="A230" s="3" t="s">
        <v>245</v>
      </c>
      <c r="B230" s="4">
        <v>6</v>
      </c>
      <c r="C230" s="3" t="s">
        <v>15</v>
      </c>
      <c r="D230" s="3" t="s">
        <v>16</v>
      </c>
      <c r="E230" s="3">
        <f>+IFERROR(VLOOKUP(A230,TB!$A$12:$C$403,2,),0)</f>
        <v>0</v>
      </c>
      <c r="G230" s="3">
        <f t="shared" si="18"/>
        <v>0</v>
      </c>
      <c r="H230" s="3">
        <f>+IFERROR(VLOOKUP(A230,TB!$A$12:$C$403,3,),0)</f>
        <v>0</v>
      </c>
      <c r="J230" s="3">
        <f t="shared" si="19"/>
        <v>0</v>
      </c>
      <c r="K230" s="3">
        <v>1310924</v>
      </c>
      <c r="L230" s="3">
        <v>0</v>
      </c>
      <c r="M230" s="3">
        <v>1310924</v>
      </c>
      <c r="N230" s="3">
        <v>0</v>
      </c>
      <c r="O230" s="3">
        <v>0</v>
      </c>
      <c r="P230" s="3">
        <v>0</v>
      </c>
    </row>
    <row r="231" spans="1:16" s="3" customFormat="1">
      <c r="A231" s="3" t="s">
        <v>246</v>
      </c>
      <c r="B231" s="4">
        <v>9</v>
      </c>
      <c r="C231" s="3" t="s">
        <v>37</v>
      </c>
      <c r="D231" s="3" t="s">
        <v>38</v>
      </c>
      <c r="E231" s="3">
        <f>+IFERROR(VLOOKUP(A231,TB!$A$12:$C$403,2,),0)</f>
        <v>27000</v>
      </c>
      <c r="G231" s="3">
        <f t="shared" si="18"/>
        <v>27000</v>
      </c>
      <c r="H231" s="3">
        <f>+IFERROR(VLOOKUP(A231,TB!$A$12:$C$403,3,),0)</f>
        <v>0</v>
      </c>
      <c r="J231" s="3">
        <f t="shared" si="19"/>
        <v>0</v>
      </c>
      <c r="K231" s="3">
        <v>20000</v>
      </c>
      <c r="L231" s="3">
        <v>0</v>
      </c>
      <c r="M231" s="3">
        <v>20000</v>
      </c>
      <c r="N231" s="3">
        <v>0</v>
      </c>
      <c r="O231" s="3">
        <v>0</v>
      </c>
      <c r="P231" s="3">
        <v>0</v>
      </c>
    </row>
    <row r="232" spans="1:16" s="3" customFormat="1">
      <c r="A232" s="3" t="s">
        <v>247</v>
      </c>
      <c r="B232" s="4">
        <v>17</v>
      </c>
      <c r="C232" s="3" t="s">
        <v>10</v>
      </c>
      <c r="D232" s="3" t="s">
        <v>11</v>
      </c>
      <c r="E232" s="3">
        <f>+IFERROR(VLOOKUP(A232,TB!$A$12:$C$403,2,),0)</f>
        <v>0</v>
      </c>
      <c r="G232" s="3">
        <f t="shared" si="18"/>
        <v>0</v>
      </c>
      <c r="H232" s="3">
        <f>+IFERROR(VLOOKUP(A232,TB!$A$12:$C$403,3,),0)</f>
        <v>6711</v>
      </c>
      <c r="J232" s="3">
        <f t="shared" si="19"/>
        <v>6711</v>
      </c>
      <c r="K232" s="3">
        <v>0</v>
      </c>
      <c r="L232" s="3">
        <v>0</v>
      </c>
      <c r="M232" s="3">
        <v>0</v>
      </c>
      <c r="N232" s="3">
        <v>4130</v>
      </c>
      <c r="O232" s="3">
        <v>0</v>
      </c>
      <c r="P232" s="3">
        <v>4130</v>
      </c>
    </row>
    <row r="233" spans="1:16" s="3" customFormat="1">
      <c r="A233" s="3" t="s">
        <v>248</v>
      </c>
      <c r="B233" s="4">
        <v>13</v>
      </c>
      <c r="C233" s="3" t="s">
        <v>47</v>
      </c>
      <c r="D233" s="3" t="s">
        <v>48</v>
      </c>
      <c r="E233" s="3">
        <f>+IFERROR(VLOOKUP(A233,TB!$A$12:$C$403,2,),0)</f>
        <v>0</v>
      </c>
      <c r="G233" s="3">
        <f t="shared" ref="G233:G266" si="20">+E233+F233</f>
        <v>0</v>
      </c>
      <c r="H233" s="3">
        <f>+IFERROR(VLOOKUP(A233,TB!$A$12:$C$403,3,),0)</f>
        <v>4071040</v>
      </c>
      <c r="J233" s="3">
        <f t="shared" ref="J233:J266" si="21">+H233+I233</f>
        <v>4071040</v>
      </c>
      <c r="K233" s="3">
        <v>0</v>
      </c>
      <c r="L233" s="3">
        <v>0</v>
      </c>
      <c r="M233" s="3">
        <v>0</v>
      </c>
      <c r="N233" s="3">
        <v>3790656</v>
      </c>
      <c r="O233" s="3">
        <v>0</v>
      </c>
      <c r="P233" s="3">
        <v>3790656</v>
      </c>
    </row>
    <row r="234" spans="1:16" s="3" customFormat="1">
      <c r="A234" s="3" t="s">
        <v>249</v>
      </c>
      <c r="B234" s="4">
        <v>17</v>
      </c>
      <c r="C234" s="3" t="s">
        <v>10</v>
      </c>
      <c r="D234" s="3" t="s">
        <v>10</v>
      </c>
      <c r="E234" s="3">
        <f>+IFERROR(VLOOKUP(A234,TB!$A$12:$C$403,2,),0)</f>
        <v>0</v>
      </c>
      <c r="G234" s="3">
        <f t="shared" si="20"/>
        <v>0</v>
      </c>
      <c r="H234" s="3">
        <f>+IFERROR(VLOOKUP(A234,TB!$A$12:$C$403,3,),0)</f>
        <v>12525978.300000001</v>
      </c>
      <c r="J234" s="3">
        <f t="shared" si="21"/>
        <v>12525978.300000001</v>
      </c>
      <c r="K234" s="3">
        <v>0</v>
      </c>
      <c r="L234" s="3">
        <v>0</v>
      </c>
      <c r="M234" s="3">
        <v>0</v>
      </c>
      <c r="N234" s="3">
        <v>17205005.399999999</v>
      </c>
      <c r="O234" s="3">
        <v>0</v>
      </c>
      <c r="P234" s="3">
        <v>17205005.399999999</v>
      </c>
    </row>
    <row r="235" spans="1:16" s="3" customFormat="1">
      <c r="A235" s="3" t="s">
        <v>250</v>
      </c>
      <c r="B235" s="4">
        <v>17</v>
      </c>
      <c r="C235" s="3" t="s">
        <v>10</v>
      </c>
      <c r="D235" s="3" t="s">
        <v>10</v>
      </c>
      <c r="E235" s="3">
        <f>+IFERROR(VLOOKUP(A235,TB!$A$12:$C$403,2,),0)</f>
        <v>0</v>
      </c>
      <c r="G235" s="3">
        <f t="shared" si="20"/>
        <v>0</v>
      </c>
      <c r="H235" s="3">
        <f>+IFERROR(VLOOKUP(A235,TB!$A$12:$C$403,3,),0)</f>
        <v>0</v>
      </c>
      <c r="J235" s="3">
        <f t="shared" si="21"/>
        <v>0</v>
      </c>
      <c r="K235" s="3">
        <v>0</v>
      </c>
      <c r="L235" s="3">
        <v>0</v>
      </c>
      <c r="M235" s="3">
        <v>0</v>
      </c>
      <c r="N235" s="3">
        <v>5788</v>
      </c>
      <c r="O235" s="3">
        <v>0</v>
      </c>
      <c r="P235" s="3">
        <v>5788</v>
      </c>
    </row>
    <row r="236" spans="1:16" s="3" customFormat="1">
      <c r="A236" s="3" t="s">
        <v>251</v>
      </c>
      <c r="B236" s="4">
        <v>9</v>
      </c>
      <c r="C236" s="3" t="s">
        <v>37</v>
      </c>
      <c r="D236" s="3" t="s">
        <v>38</v>
      </c>
      <c r="E236" s="3">
        <f>+IFERROR(VLOOKUP(A236,TB!$A$12:$C$403,2,),0)</f>
        <v>2000</v>
      </c>
      <c r="G236" s="3">
        <f t="shared" si="20"/>
        <v>2000</v>
      </c>
      <c r="H236" s="3">
        <f>+IFERROR(VLOOKUP(A236,TB!$A$12:$C$403,3,),0)</f>
        <v>0</v>
      </c>
      <c r="J236" s="3">
        <f t="shared" si="21"/>
        <v>0</v>
      </c>
      <c r="K236" s="3">
        <v>14000</v>
      </c>
      <c r="L236" s="3">
        <v>0</v>
      </c>
      <c r="M236" s="3">
        <v>14000</v>
      </c>
      <c r="N236" s="3">
        <v>0</v>
      </c>
      <c r="O236" s="3">
        <v>0</v>
      </c>
      <c r="P236" s="3">
        <v>0</v>
      </c>
    </row>
    <row r="237" spans="1:16" s="3" customFormat="1">
      <c r="A237" s="3" t="s">
        <v>252</v>
      </c>
      <c r="B237" s="4">
        <v>17</v>
      </c>
      <c r="C237" s="3" t="s">
        <v>10</v>
      </c>
      <c r="D237" s="3" t="s">
        <v>11</v>
      </c>
      <c r="E237" s="3">
        <f>+IFERROR(VLOOKUP(A237,TB!$A$12:$C$403,2,),0)</f>
        <v>0</v>
      </c>
      <c r="G237" s="3">
        <f t="shared" si="20"/>
        <v>0</v>
      </c>
      <c r="H237" s="3">
        <f>+IFERROR(VLOOKUP(A237,TB!$A$12:$C$403,3,),0)</f>
        <v>42465</v>
      </c>
      <c r="J237" s="3">
        <f t="shared" si="21"/>
        <v>42465</v>
      </c>
      <c r="K237" s="3">
        <v>0</v>
      </c>
      <c r="L237" s="3">
        <v>0</v>
      </c>
      <c r="M237" s="3">
        <v>0</v>
      </c>
      <c r="N237" s="3">
        <v>44466</v>
      </c>
      <c r="O237" s="3">
        <v>0</v>
      </c>
      <c r="P237" s="3">
        <v>44466</v>
      </c>
    </row>
    <row r="238" spans="1:16" s="3" customFormat="1">
      <c r="A238" s="3" t="s">
        <v>253</v>
      </c>
      <c r="B238" s="4">
        <v>27</v>
      </c>
      <c r="C238" s="3" t="s">
        <v>51</v>
      </c>
      <c r="D238" s="3" t="s">
        <v>87</v>
      </c>
      <c r="E238" s="3">
        <f>+IFERROR(VLOOKUP(A238,TB!$A$12:$C$403,2,),0)</f>
        <v>13776</v>
      </c>
      <c r="G238" s="3">
        <f t="shared" si="20"/>
        <v>13776</v>
      </c>
      <c r="H238" s="3">
        <f>+IFERROR(VLOOKUP(A238,TB!$A$12:$C$403,3,),0)</f>
        <v>0</v>
      </c>
      <c r="J238" s="3">
        <f t="shared" si="21"/>
        <v>0</v>
      </c>
      <c r="K238" s="3">
        <v>13680</v>
      </c>
      <c r="L238" s="3">
        <v>0</v>
      </c>
      <c r="M238" s="3">
        <v>13680</v>
      </c>
      <c r="N238" s="3">
        <v>0</v>
      </c>
      <c r="O238" s="3">
        <v>0</v>
      </c>
      <c r="P238" s="3">
        <v>0</v>
      </c>
    </row>
    <row r="239" spans="1:16" s="3" customFormat="1">
      <c r="A239" s="3" t="s">
        <v>254</v>
      </c>
      <c r="B239" s="4">
        <v>6</v>
      </c>
      <c r="C239" s="3" t="s">
        <v>15</v>
      </c>
      <c r="D239" s="3" t="s">
        <v>16</v>
      </c>
      <c r="E239" s="3">
        <f>+IFERROR(VLOOKUP(A239,TB!$A$12:$C$403,2,),0)</f>
        <v>23215022</v>
      </c>
      <c r="G239" s="3">
        <f t="shared" si="20"/>
        <v>23215022</v>
      </c>
      <c r="H239" s="3">
        <f>+IFERROR(VLOOKUP(A239,TB!$A$12:$C$403,3,),0)</f>
        <v>0</v>
      </c>
      <c r="J239" s="3">
        <f t="shared" si="21"/>
        <v>0</v>
      </c>
      <c r="K239" s="3">
        <v>42218801</v>
      </c>
      <c r="L239" s="3">
        <v>0</v>
      </c>
      <c r="M239" s="3">
        <v>42218801</v>
      </c>
      <c r="N239" s="3">
        <v>0</v>
      </c>
      <c r="O239" s="3">
        <v>0</v>
      </c>
      <c r="P239" s="3">
        <v>0</v>
      </c>
    </row>
    <row r="240" spans="1:16" s="3" customFormat="1">
      <c r="A240" s="3" t="s">
        <v>255</v>
      </c>
      <c r="B240" s="4">
        <v>27</v>
      </c>
      <c r="C240" s="3" t="s">
        <v>51</v>
      </c>
      <c r="D240" s="3" t="s">
        <v>87</v>
      </c>
      <c r="E240" s="3">
        <f>+IFERROR(VLOOKUP(A240,TB!$A$12:$C$403,2,),0)</f>
        <v>279</v>
      </c>
      <c r="G240" s="3">
        <f t="shared" si="20"/>
        <v>279</v>
      </c>
      <c r="H240" s="3">
        <f>+IFERROR(VLOOKUP(A240,TB!$A$12:$C$403,3,),0)</f>
        <v>0</v>
      </c>
      <c r="J240" s="3">
        <f t="shared" si="21"/>
        <v>0</v>
      </c>
      <c r="K240" s="3">
        <v>676</v>
      </c>
      <c r="L240" s="3">
        <v>0</v>
      </c>
      <c r="M240" s="3">
        <v>676</v>
      </c>
      <c r="N240" s="3">
        <v>0</v>
      </c>
      <c r="O240" s="3">
        <v>0</v>
      </c>
      <c r="P240" s="3">
        <v>0</v>
      </c>
    </row>
    <row r="241" spans="1:16" s="3" customFormat="1">
      <c r="A241" s="3" t="s">
        <v>256</v>
      </c>
      <c r="B241" s="4">
        <v>25</v>
      </c>
      <c r="C241" s="3" t="s">
        <v>155</v>
      </c>
      <c r="D241" s="3" t="s">
        <v>156</v>
      </c>
      <c r="E241" s="3">
        <f>+IFERROR(VLOOKUP(A241,TB!$A$12:$C$403,2,),0)</f>
        <v>233275</v>
      </c>
      <c r="G241" s="3">
        <f t="shared" si="20"/>
        <v>233275</v>
      </c>
      <c r="H241" s="3">
        <f>+IFERROR(VLOOKUP(A241,TB!$A$12:$C$403,3,),0)</f>
        <v>0</v>
      </c>
      <c r="J241" s="3">
        <f t="shared" si="21"/>
        <v>0</v>
      </c>
      <c r="K241" s="3">
        <v>221807</v>
      </c>
      <c r="L241" s="3">
        <v>0</v>
      </c>
      <c r="M241" s="3">
        <v>221807</v>
      </c>
      <c r="N241" s="3">
        <v>0</v>
      </c>
      <c r="O241" s="3">
        <v>0</v>
      </c>
      <c r="P241" s="3">
        <v>0</v>
      </c>
    </row>
    <row r="242" spans="1:16" s="3" customFormat="1">
      <c r="A242" s="3" t="s">
        <v>257</v>
      </c>
      <c r="B242" s="4">
        <v>20</v>
      </c>
      <c r="C242" s="3" t="s">
        <v>211</v>
      </c>
      <c r="D242" s="3" t="s">
        <v>139</v>
      </c>
      <c r="E242" s="3">
        <f>+IFERROR(VLOOKUP(A242,TB!$A$12:$C$403,2,),0)</f>
        <v>0</v>
      </c>
      <c r="G242" s="3">
        <f t="shared" si="20"/>
        <v>0</v>
      </c>
      <c r="H242" s="3">
        <f>+IFERROR(VLOOKUP(A242,TB!$A$12:$C$403,3,),0)</f>
        <v>233275</v>
      </c>
      <c r="J242" s="3">
        <f t="shared" si="21"/>
        <v>233275</v>
      </c>
      <c r="K242" s="3">
        <v>0</v>
      </c>
      <c r="L242" s="3">
        <v>0</v>
      </c>
      <c r="M242" s="3">
        <v>0</v>
      </c>
      <c r="N242" s="3">
        <v>221807</v>
      </c>
      <c r="O242" s="3">
        <v>0</v>
      </c>
      <c r="P242" s="3">
        <v>221807</v>
      </c>
    </row>
    <row r="243" spans="1:16" s="3" customFormat="1">
      <c r="A243" s="3" t="s">
        <v>258</v>
      </c>
      <c r="B243" s="4">
        <v>27</v>
      </c>
      <c r="C243" s="3" t="s">
        <v>51</v>
      </c>
      <c r="D243" s="3" t="s">
        <v>111</v>
      </c>
      <c r="E243" s="3">
        <f>+IFERROR(VLOOKUP(A243,TB!$A$12:$C$403,2,),0)</f>
        <v>124144</v>
      </c>
      <c r="G243" s="3">
        <f t="shared" si="20"/>
        <v>124144</v>
      </c>
      <c r="H243" s="3">
        <f>+IFERROR(VLOOKUP(A243,TB!$A$12:$C$403,3,),0)</f>
        <v>0</v>
      </c>
      <c r="J243" s="3">
        <f t="shared" si="21"/>
        <v>0</v>
      </c>
      <c r="K243" s="3">
        <v>470250</v>
      </c>
      <c r="L243" s="3">
        <v>0</v>
      </c>
      <c r="M243" s="3">
        <v>470250</v>
      </c>
      <c r="N243" s="3">
        <v>0</v>
      </c>
      <c r="O243" s="3">
        <v>0</v>
      </c>
      <c r="P243" s="3">
        <v>0</v>
      </c>
    </row>
    <row r="244" spans="1:16" s="3" customFormat="1">
      <c r="A244" s="3" t="s">
        <v>259</v>
      </c>
      <c r="B244" s="4">
        <v>17</v>
      </c>
      <c r="C244" s="3" t="s">
        <v>10</v>
      </c>
      <c r="D244" s="3" t="s">
        <v>10</v>
      </c>
      <c r="E244" s="3">
        <f>+IFERROR(VLOOKUP(A244,TB!$A$12:$C$403,2,),0)</f>
        <v>0</v>
      </c>
      <c r="G244" s="3">
        <f t="shared" si="20"/>
        <v>0</v>
      </c>
      <c r="H244" s="3">
        <f>+IFERROR(VLOOKUP(A244,TB!$A$12:$C$403,3,),0)</f>
        <v>2296047.5</v>
      </c>
      <c r="J244" s="3">
        <f t="shared" si="21"/>
        <v>2296047.5</v>
      </c>
      <c r="K244" s="3">
        <v>0</v>
      </c>
      <c r="L244" s="3">
        <v>0</v>
      </c>
      <c r="M244" s="3">
        <v>0</v>
      </c>
      <c r="N244" s="3">
        <v>10694991.5</v>
      </c>
      <c r="O244" s="3">
        <v>0</v>
      </c>
      <c r="P244" s="3">
        <v>10694991.5</v>
      </c>
    </row>
    <row r="245" spans="1:16" s="3" customFormat="1">
      <c r="A245" s="3" t="s">
        <v>260</v>
      </c>
      <c r="B245" s="4">
        <v>27</v>
      </c>
      <c r="C245" s="3" t="s">
        <v>77</v>
      </c>
      <c r="D245" s="3" t="s">
        <v>90</v>
      </c>
      <c r="E245" s="3">
        <f>+IFERROR(VLOOKUP(A245,TB!$A$12:$C$403,2,),0)</f>
        <v>278137</v>
      </c>
      <c r="G245" s="3">
        <f t="shared" si="20"/>
        <v>278137</v>
      </c>
      <c r="H245" s="3">
        <f>+IFERROR(VLOOKUP(A245,TB!$A$12:$C$403,3,),0)</f>
        <v>0</v>
      </c>
      <c r="J245" s="3">
        <f t="shared" si="21"/>
        <v>0</v>
      </c>
      <c r="K245" s="3">
        <v>153090</v>
      </c>
      <c r="L245" s="3">
        <v>0</v>
      </c>
      <c r="M245" s="3">
        <v>153090</v>
      </c>
      <c r="N245" s="3">
        <v>0</v>
      </c>
      <c r="O245" s="3">
        <v>0</v>
      </c>
      <c r="P245" s="3">
        <v>0</v>
      </c>
    </row>
    <row r="246" spans="1:16" s="3" customFormat="1">
      <c r="A246" s="3" t="s">
        <v>261</v>
      </c>
      <c r="B246" s="4">
        <v>27</v>
      </c>
      <c r="C246" s="3" t="s">
        <v>77</v>
      </c>
      <c r="D246" s="3" t="s">
        <v>90</v>
      </c>
      <c r="E246" s="3">
        <f>+IFERROR(VLOOKUP(A246,TB!$A$12:$C$403,2,),0)</f>
        <v>2223912</v>
      </c>
      <c r="G246" s="3">
        <f t="shared" si="20"/>
        <v>2223912</v>
      </c>
      <c r="H246" s="3">
        <f>+IFERROR(VLOOKUP(A246,TB!$A$12:$C$403,3,),0)</f>
        <v>0</v>
      </c>
      <c r="J246" s="3">
        <f t="shared" si="21"/>
        <v>0</v>
      </c>
      <c r="K246" s="3">
        <v>1590159</v>
      </c>
      <c r="L246" s="3">
        <v>0</v>
      </c>
      <c r="M246" s="3">
        <v>1590159</v>
      </c>
      <c r="N246" s="3">
        <v>0</v>
      </c>
      <c r="O246" s="3">
        <v>0</v>
      </c>
      <c r="P246" s="3">
        <v>0</v>
      </c>
    </row>
    <row r="247" spans="1:16" s="3" customFormat="1">
      <c r="A247" s="3" t="s">
        <v>262</v>
      </c>
      <c r="B247" s="4">
        <v>27</v>
      </c>
      <c r="C247" s="3" t="s">
        <v>77</v>
      </c>
      <c r="D247" s="3" t="s">
        <v>90</v>
      </c>
      <c r="E247" s="3">
        <f>+IFERROR(VLOOKUP(A247,TB!$A$12:$C$403,2,),0)</f>
        <v>225741.23</v>
      </c>
      <c r="G247" s="3">
        <f t="shared" si="20"/>
        <v>225741.23</v>
      </c>
      <c r="H247" s="3">
        <f>+IFERROR(VLOOKUP(A247,TB!$A$12:$C$403,3,),0)</f>
        <v>0</v>
      </c>
      <c r="J247" s="3">
        <f t="shared" si="21"/>
        <v>0</v>
      </c>
      <c r="K247" s="3">
        <v>308026.14</v>
      </c>
      <c r="L247" s="3">
        <v>0</v>
      </c>
      <c r="M247" s="3">
        <v>308026.14</v>
      </c>
      <c r="N247" s="3">
        <v>0</v>
      </c>
      <c r="O247" s="3">
        <v>0</v>
      </c>
      <c r="P247" s="3">
        <v>0</v>
      </c>
    </row>
    <row r="248" spans="1:16" s="3" customFormat="1">
      <c r="A248" s="3" t="s">
        <v>263</v>
      </c>
      <c r="B248" s="4">
        <v>27</v>
      </c>
      <c r="C248" s="3" t="s">
        <v>77</v>
      </c>
      <c r="D248" s="3" t="s">
        <v>90</v>
      </c>
      <c r="E248" s="3">
        <f>+IFERROR(VLOOKUP(A248,TB!$A$12:$C$403,2,),0)</f>
        <v>3638432.81</v>
      </c>
      <c r="G248" s="3">
        <f t="shared" si="20"/>
        <v>3638432.81</v>
      </c>
      <c r="H248" s="3">
        <f>+IFERROR(VLOOKUP(A248,TB!$A$12:$C$403,3,),0)</f>
        <v>0</v>
      </c>
      <c r="J248" s="3">
        <f t="shared" si="21"/>
        <v>0</v>
      </c>
      <c r="K248" s="3">
        <v>3724110.85</v>
      </c>
      <c r="L248" s="3">
        <v>0</v>
      </c>
      <c r="M248" s="3">
        <v>3724110.85</v>
      </c>
      <c r="N248" s="3">
        <v>0</v>
      </c>
      <c r="O248" s="3">
        <v>0</v>
      </c>
      <c r="P248" s="3">
        <v>0</v>
      </c>
    </row>
    <row r="249" spans="1:16" s="3" customFormat="1">
      <c r="A249" s="3" t="s">
        <v>264</v>
      </c>
      <c r="B249" s="4">
        <v>10</v>
      </c>
      <c r="C249" s="3" t="s">
        <v>34</v>
      </c>
      <c r="D249" s="3" t="s">
        <v>35</v>
      </c>
      <c r="E249" s="3">
        <f>+IFERROR(VLOOKUP(A249,TB!$A$12:$C$403,2,),0)</f>
        <v>7944212</v>
      </c>
      <c r="G249" s="3">
        <f t="shared" si="20"/>
        <v>7944212</v>
      </c>
      <c r="H249" s="3">
        <f>+IFERROR(VLOOKUP(A249,TB!$A$12:$C$403,3,),0)</f>
        <v>0</v>
      </c>
      <c r="J249" s="3">
        <f t="shared" si="21"/>
        <v>0</v>
      </c>
      <c r="K249" s="3">
        <v>91778</v>
      </c>
      <c r="L249" s="3">
        <v>0</v>
      </c>
      <c r="M249" s="3">
        <v>91778</v>
      </c>
      <c r="N249" s="3">
        <v>0</v>
      </c>
      <c r="O249" s="3">
        <v>0</v>
      </c>
      <c r="P249" s="3">
        <v>0</v>
      </c>
    </row>
    <row r="250" spans="1:16" s="3" customFormat="1">
      <c r="A250" s="3" t="s">
        <v>265</v>
      </c>
      <c r="B250" s="4">
        <v>9</v>
      </c>
      <c r="C250" s="3" t="s">
        <v>37</v>
      </c>
      <c r="D250" s="3" t="s">
        <v>38</v>
      </c>
      <c r="E250" s="3">
        <f>+IFERROR(VLOOKUP(A250,TB!$A$12:$C$403,2,),0)</f>
        <v>21000</v>
      </c>
      <c r="G250" s="3">
        <f t="shared" si="20"/>
        <v>21000</v>
      </c>
      <c r="H250" s="3">
        <f>+IFERROR(VLOOKUP(A250,TB!$A$12:$C$403,3,),0)</f>
        <v>0</v>
      </c>
      <c r="J250" s="3">
        <f t="shared" si="21"/>
        <v>0</v>
      </c>
      <c r="K250" s="3">
        <v>5000</v>
      </c>
      <c r="L250" s="3">
        <v>0</v>
      </c>
      <c r="M250" s="3">
        <v>5000</v>
      </c>
      <c r="N250" s="3">
        <v>0</v>
      </c>
      <c r="O250" s="3">
        <v>0</v>
      </c>
      <c r="P250" s="3">
        <v>0</v>
      </c>
    </row>
    <row r="251" spans="1:16" s="3" customFormat="1">
      <c r="A251" s="3" t="s">
        <v>266</v>
      </c>
      <c r="B251" s="4">
        <v>17</v>
      </c>
      <c r="C251" s="3" t="s">
        <v>10</v>
      </c>
      <c r="D251" s="3" t="s">
        <v>11</v>
      </c>
      <c r="E251" s="3">
        <f>+IFERROR(VLOOKUP(A251,TB!$A$12:$C$403,2,),0)</f>
        <v>0</v>
      </c>
      <c r="G251" s="3">
        <f t="shared" si="20"/>
        <v>0</v>
      </c>
      <c r="H251" s="3">
        <f>+IFERROR(VLOOKUP(A251,TB!$A$12:$C$403,3,),0)</f>
        <v>218293</v>
      </c>
      <c r="J251" s="3">
        <f t="shared" si="21"/>
        <v>218293</v>
      </c>
      <c r="K251" s="3">
        <v>0</v>
      </c>
      <c r="L251" s="3">
        <v>0</v>
      </c>
      <c r="M251" s="3">
        <v>0</v>
      </c>
      <c r="N251" s="3">
        <v>0</v>
      </c>
      <c r="O251" s="3">
        <v>0</v>
      </c>
      <c r="P251" s="3">
        <v>0</v>
      </c>
    </row>
    <row r="252" spans="1:16" s="3" customFormat="1">
      <c r="A252" s="3" t="s">
        <v>267</v>
      </c>
      <c r="B252" s="4">
        <v>17</v>
      </c>
      <c r="C252" s="3" t="s">
        <v>10</v>
      </c>
      <c r="D252" s="3" t="s">
        <v>11</v>
      </c>
      <c r="E252" s="3">
        <f>+IFERROR(VLOOKUP(A252,TB!$A$12:$C$403,2,),0)</f>
        <v>0</v>
      </c>
      <c r="G252" s="3">
        <f t="shared" si="20"/>
        <v>0</v>
      </c>
      <c r="H252" s="3">
        <f>+IFERROR(VLOOKUP(A252,TB!$A$12:$C$403,3,),0)</f>
        <v>27100</v>
      </c>
      <c r="J252" s="3">
        <f t="shared" si="21"/>
        <v>27100</v>
      </c>
      <c r="K252" s="3">
        <v>0</v>
      </c>
      <c r="L252" s="3">
        <v>0</v>
      </c>
      <c r="M252" s="3">
        <v>0</v>
      </c>
      <c r="N252" s="3">
        <v>0</v>
      </c>
      <c r="O252" s="3">
        <v>0</v>
      </c>
      <c r="P252" s="3">
        <v>0</v>
      </c>
    </row>
    <row r="253" spans="1:16" s="3" customFormat="1">
      <c r="A253" s="3" t="s">
        <v>268</v>
      </c>
      <c r="B253" s="4">
        <v>9</v>
      </c>
      <c r="C253" s="3" t="s">
        <v>37</v>
      </c>
      <c r="D253" s="3" t="s">
        <v>38</v>
      </c>
      <c r="E253" s="3">
        <f>+IFERROR(VLOOKUP(A253,TB!$A$12:$C$403,2,),0)</f>
        <v>32000</v>
      </c>
      <c r="G253" s="3">
        <f t="shared" si="20"/>
        <v>32000</v>
      </c>
      <c r="H253" s="3">
        <f>+IFERROR(VLOOKUP(A253,TB!$A$12:$C$403,3,),0)</f>
        <v>0</v>
      </c>
      <c r="J253" s="3">
        <f t="shared" si="21"/>
        <v>0</v>
      </c>
      <c r="K253" s="3">
        <v>39000</v>
      </c>
      <c r="L253" s="3">
        <v>0</v>
      </c>
      <c r="M253" s="3">
        <v>39000</v>
      </c>
      <c r="N253" s="3">
        <v>0</v>
      </c>
      <c r="O253" s="3">
        <v>0</v>
      </c>
      <c r="P253" s="3">
        <v>0</v>
      </c>
    </row>
    <row r="254" spans="1:16" s="3" customFormat="1">
      <c r="A254" s="3" t="s">
        <v>269</v>
      </c>
      <c r="B254" s="4">
        <v>25</v>
      </c>
      <c r="C254" s="3" t="s">
        <v>155</v>
      </c>
      <c r="D254" s="3" t="s">
        <v>270</v>
      </c>
      <c r="E254" s="3">
        <f>+IFERROR(VLOOKUP(A254,TB!$A$12:$C$403,2,),0)</f>
        <v>194520</v>
      </c>
      <c r="G254" s="3">
        <f t="shared" si="20"/>
        <v>194520</v>
      </c>
      <c r="H254" s="3">
        <f>+IFERROR(VLOOKUP(A254,TB!$A$12:$C$403,3,),0)</f>
        <v>0</v>
      </c>
      <c r="J254" s="3">
        <f t="shared" si="21"/>
        <v>0</v>
      </c>
      <c r="K254" s="3">
        <v>198462</v>
      </c>
      <c r="L254" s="3">
        <v>0</v>
      </c>
      <c r="M254" s="3">
        <v>198462</v>
      </c>
      <c r="N254" s="3">
        <v>0</v>
      </c>
      <c r="O254" s="3">
        <v>0</v>
      </c>
      <c r="P254" s="3">
        <v>0</v>
      </c>
    </row>
    <row r="255" spans="1:16" s="3" customFormat="1">
      <c r="A255" s="3" t="s">
        <v>271</v>
      </c>
      <c r="B255" s="4">
        <v>27</v>
      </c>
      <c r="C255" s="3" t="s">
        <v>51</v>
      </c>
      <c r="D255" s="3" t="s">
        <v>52</v>
      </c>
      <c r="E255" s="3">
        <f>+IFERROR(VLOOKUP(A255,TB!$A$12:$C$403,2,),0)</f>
        <v>0</v>
      </c>
      <c r="G255" s="3">
        <f t="shared" si="20"/>
        <v>0</v>
      </c>
      <c r="H255" s="3">
        <f>+IFERROR(VLOOKUP(A255,TB!$A$12:$C$403,3,),0)</f>
        <v>0</v>
      </c>
      <c r="J255" s="3">
        <f t="shared" si="21"/>
        <v>0</v>
      </c>
      <c r="K255" s="3">
        <v>550</v>
      </c>
      <c r="L255" s="3">
        <v>0</v>
      </c>
      <c r="M255" s="3">
        <v>550</v>
      </c>
      <c r="N255" s="3">
        <v>0</v>
      </c>
      <c r="O255" s="3">
        <v>0</v>
      </c>
      <c r="P255" s="3">
        <v>0</v>
      </c>
    </row>
    <row r="256" spans="1:16" s="3" customFormat="1">
      <c r="A256" s="3" t="s">
        <v>272</v>
      </c>
      <c r="B256" s="4">
        <v>9</v>
      </c>
      <c r="C256" s="3" t="s">
        <v>37</v>
      </c>
      <c r="D256" s="3" t="s">
        <v>38</v>
      </c>
      <c r="E256" s="3">
        <f>+IFERROR(VLOOKUP(A256,TB!$A$12:$C$403,2,),0)</f>
        <v>0</v>
      </c>
      <c r="G256" s="3">
        <f t="shared" si="20"/>
        <v>0</v>
      </c>
      <c r="H256" s="3">
        <f>+IFERROR(VLOOKUP(A256,TB!$A$12:$C$403,3,),0)</f>
        <v>0</v>
      </c>
      <c r="J256" s="3">
        <f t="shared" si="21"/>
        <v>0</v>
      </c>
      <c r="K256" s="3">
        <v>9000</v>
      </c>
      <c r="L256" s="3">
        <v>0</v>
      </c>
      <c r="M256" s="3">
        <v>9000</v>
      </c>
      <c r="N256" s="3">
        <v>0</v>
      </c>
      <c r="O256" s="3">
        <v>0</v>
      </c>
      <c r="P256" s="3">
        <v>0</v>
      </c>
    </row>
    <row r="257" spans="1:16" s="3" customFormat="1">
      <c r="A257" s="3" t="s">
        <v>273</v>
      </c>
      <c r="B257" s="4">
        <v>17</v>
      </c>
      <c r="C257" s="3" t="s">
        <v>10</v>
      </c>
      <c r="D257" s="3" t="s">
        <v>11</v>
      </c>
      <c r="E257" s="3">
        <f>+IFERROR(VLOOKUP(A257,TB!$A$12:$C$403,2,),0)</f>
        <v>0</v>
      </c>
      <c r="G257" s="3">
        <f t="shared" si="20"/>
        <v>0</v>
      </c>
      <c r="H257" s="3">
        <f>+IFERROR(VLOOKUP(A257,TB!$A$12:$C$403,3,),0)</f>
        <v>0</v>
      </c>
      <c r="J257" s="3">
        <f t="shared" si="21"/>
        <v>0</v>
      </c>
      <c r="K257" s="3">
        <v>0</v>
      </c>
      <c r="L257" s="3">
        <v>0</v>
      </c>
      <c r="M257" s="3">
        <v>0</v>
      </c>
      <c r="N257" s="3">
        <v>5161</v>
      </c>
      <c r="O257" s="3">
        <v>0</v>
      </c>
      <c r="P257" s="3">
        <v>5161</v>
      </c>
    </row>
    <row r="258" spans="1:16" s="3" customFormat="1">
      <c r="A258" s="3" t="s">
        <v>274</v>
      </c>
      <c r="B258" s="4">
        <v>9</v>
      </c>
      <c r="C258" s="3" t="s">
        <v>37</v>
      </c>
      <c r="D258" s="3" t="s">
        <v>38</v>
      </c>
      <c r="E258" s="3">
        <f>+IFERROR(VLOOKUP(A258,TB!$A$12:$C$403,2,),0)</f>
        <v>14000</v>
      </c>
      <c r="G258" s="3">
        <f t="shared" si="20"/>
        <v>14000</v>
      </c>
      <c r="H258" s="3">
        <f>+IFERROR(VLOOKUP(A258,TB!$A$12:$C$403,3,),0)</f>
        <v>0</v>
      </c>
      <c r="J258" s="3">
        <f t="shared" si="21"/>
        <v>0</v>
      </c>
      <c r="K258" s="3">
        <v>9000</v>
      </c>
      <c r="L258" s="3">
        <v>0</v>
      </c>
      <c r="M258" s="3">
        <v>9000</v>
      </c>
      <c r="N258" s="3">
        <v>0</v>
      </c>
      <c r="O258" s="3">
        <v>0</v>
      </c>
      <c r="P258" s="3">
        <v>0</v>
      </c>
    </row>
    <row r="259" spans="1:16" s="3" customFormat="1">
      <c r="A259" s="3" t="s">
        <v>275</v>
      </c>
      <c r="B259" s="4">
        <v>27</v>
      </c>
      <c r="C259" s="3" t="s">
        <v>51</v>
      </c>
      <c r="D259" s="3" t="s">
        <v>80</v>
      </c>
      <c r="E259" s="3">
        <f>+IFERROR(VLOOKUP(A259,TB!$A$12:$C$403,2,),0)</f>
        <v>145550</v>
      </c>
      <c r="G259" s="3">
        <f t="shared" si="20"/>
        <v>145550</v>
      </c>
      <c r="H259" s="3">
        <f>+IFERROR(VLOOKUP(A259,TB!$A$12:$C$403,3,),0)</f>
        <v>0</v>
      </c>
      <c r="J259" s="3">
        <f t="shared" si="21"/>
        <v>0</v>
      </c>
      <c r="K259" s="3">
        <v>136800</v>
      </c>
      <c r="L259" s="3">
        <v>0</v>
      </c>
      <c r="M259" s="3">
        <v>136800</v>
      </c>
      <c r="N259" s="3">
        <v>0</v>
      </c>
      <c r="O259" s="3">
        <v>0</v>
      </c>
      <c r="P259" s="3">
        <v>0</v>
      </c>
    </row>
    <row r="260" spans="1:16" s="3" customFormat="1">
      <c r="A260" s="3" t="s">
        <v>276</v>
      </c>
      <c r="B260" s="4">
        <v>27</v>
      </c>
      <c r="C260" s="3" t="s">
        <v>51</v>
      </c>
      <c r="D260" s="3" t="s">
        <v>80</v>
      </c>
      <c r="E260" s="3">
        <f>+IFERROR(VLOOKUP(A260,TB!$A$12:$C$403,2,),0)</f>
        <v>106100</v>
      </c>
      <c r="G260" s="3">
        <f t="shared" si="20"/>
        <v>106100</v>
      </c>
      <c r="H260" s="3">
        <f>+IFERROR(VLOOKUP(A260,TB!$A$12:$C$403,3,),0)</f>
        <v>0</v>
      </c>
      <c r="J260" s="3">
        <f t="shared" si="21"/>
        <v>0</v>
      </c>
      <c r="K260" s="3">
        <v>90200</v>
      </c>
      <c r="L260" s="3">
        <v>0</v>
      </c>
      <c r="M260" s="3">
        <v>90200</v>
      </c>
      <c r="N260" s="3">
        <v>0</v>
      </c>
      <c r="O260" s="3">
        <v>0</v>
      </c>
      <c r="P260" s="3">
        <v>0</v>
      </c>
    </row>
    <row r="261" spans="1:16" s="3" customFormat="1">
      <c r="A261" s="3" t="s">
        <v>277</v>
      </c>
      <c r="B261" s="4">
        <v>2</v>
      </c>
      <c r="C261" s="3" t="s">
        <v>82</v>
      </c>
      <c r="D261" s="3" t="s">
        <v>83</v>
      </c>
      <c r="E261" s="3">
        <f>+IFERROR(VLOOKUP(A261,TB!$A$12:$C$403,2,),0)</f>
        <v>1123742.8799999999</v>
      </c>
      <c r="G261" s="3">
        <f t="shared" si="20"/>
        <v>1123742.8799999999</v>
      </c>
      <c r="H261" s="3">
        <f>+IFERROR(VLOOKUP(A261,TB!$A$12:$C$403,3,),0)</f>
        <v>0</v>
      </c>
      <c r="J261" s="3">
        <f t="shared" si="21"/>
        <v>0</v>
      </c>
      <c r="K261" s="3">
        <v>1123742.8799999999</v>
      </c>
      <c r="L261" s="3">
        <v>0</v>
      </c>
      <c r="M261" s="3">
        <v>1123742.8799999999</v>
      </c>
      <c r="N261" s="3">
        <v>0</v>
      </c>
      <c r="O261" s="3">
        <v>0</v>
      </c>
      <c r="P261" s="3">
        <v>0</v>
      </c>
    </row>
    <row r="262" spans="1:16" s="3" customFormat="1">
      <c r="A262" s="3" t="s">
        <v>278</v>
      </c>
      <c r="B262" s="4">
        <v>27</v>
      </c>
      <c r="C262" s="3" t="s">
        <v>51</v>
      </c>
      <c r="D262" s="3" t="s">
        <v>80</v>
      </c>
      <c r="E262" s="3">
        <f>+IFERROR(VLOOKUP(A262,TB!$A$12:$C$403,2,),0)</f>
        <v>85992.9</v>
      </c>
      <c r="G262" s="3">
        <f t="shared" si="20"/>
        <v>85992.9</v>
      </c>
      <c r="H262" s="3">
        <f>+IFERROR(VLOOKUP(A262,TB!$A$12:$C$403,3,),0)</f>
        <v>0</v>
      </c>
      <c r="J262" s="3">
        <f t="shared" si="21"/>
        <v>0</v>
      </c>
      <c r="K262" s="3">
        <v>59557.440000000002</v>
      </c>
      <c r="L262" s="3">
        <v>0</v>
      </c>
      <c r="M262" s="3">
        <v>59557.440000000002</v>
      </c>
      <c r="N262" s="3">
        <v>0</v>
      </c>
      <c r="O262" s="3">
        <v>0</v>
      </c>
      <c r="P262" s="3">
        <v>0</v>
      </c>
    </row>
    <row r="263" spans="1:16" s="3" customFormat="1">
      <c r="A263" s="3" t="s">
        <v>279</v>
      </c>
      <c r="B263" s="4">
        <v>27</v>
      </c>
      <c r="C263" s="3" t="s">
        <v>51</v>
      </c>
      <c r="D263" s="3" t="s">
        <v>208</v>
      </c>
      <c r="E263" s="3">
        <f>+IFERROR(VLOOKUP(A263,TB!$A$12:$C$403,2,),0)</f>
        <v>610000</v>
      </c>
      <c r="G263" s="3">
        <f t="shared" si="20"/>
        <v>610000</v>
      </c>
      <c r="H263" s="3">
        <f>+IFERROR(VLOOKUP(A263,TB!$A$12:$C$403,3,),0)</f>
        <v>0</v>
      </c>
      <c r="J263" s="3">
        <f t="shared" si="21"/>
        <v>0</v>
      </c>
      <c r="K263" s="3">
        <v>420000</v>
      </c>
      <c r="L263" s="3">
        <v>0</v>
      </c>
      <c r="M263" s="3">
        <v>420000</v>
      </c>
      <c r="N263" s="3">
        <v>0</v>
      </c>
      <c r="O263" s="3">
        <v>0</v>
      </c>
      <c r="P263" s="3">
        <v>0</v>
      </c>
    </row>
    <row r="264" spans="1:16" s="3" customFormat="1">
      <c r="A264" s="3" t="s">
        <v>280</v>
      </c>
      <c r="B264" s="4">
        <v>27</v>
      </c>
      <c r="C264" s="3" t="s">
        <v>51</v>
      </c>
      <c r="D264" s="3" t="s">
        <v>80</v>
      </c>
      <c r="E264" s="3">
        <f>+IFERROR(VLOOKUP(A264,TB!$A$12:$C$403,2,),0)</f>
        <v>50928</v>
      </c>
      <c r="G264" s="3">
        <f t="shared" si="20"/>
        <v>50928</v>
      </c>
      <c r="H264" s="3">
        <f>+IFERROR(VLOOKUP(A264,TB!$A$12:$C$403,3,),0)</f>
        <v>0</v>
      </c>
      <c r="J264" s="3">
        <f t="shared" si="21"/>
        <v>0</v>
      </c>
      <c r="K264" s="3">
        <v>54503</v>
      </c>
      <c r="L264" s="3">
        <v>0</v>
      </c>
      <c r="M264" s="3">
        <v>54503</v>
      </c>
      <c r="N264" s="3">
        <v>0</v>
      </c>
      <c r="O264" s="3">
        <v>0</v>
      </c>
      <c r="P264" s="3">
        <v>0</v>
      </c>
    </row>
    <row r="265" spans="1:16" s="3" customFormat="1">
      <c r="A265" s="3" t="s">
        <v>281</v>
      </c>
      <c r="B265" s="4">
        <v>10</v>
      </c>
      <c r="C265" s="3" t="s">
        <v>34</v>
      </c>
      <c r="D265" s="3" t="s">
        <v>35</v>
      </c>
      <c r="E265" s="3">
        <f>+IFERROR(VLOOKUP(A265,TB!$A$12:$C$403,2,),0)</f>
        <v>0</v>
      </c>
      <c r="G265" s="3">
        <f t="shared" si="20"/>
        <v>0</v>
      </c>
      <c r="H265" s="3">
        <f>+IFERROR(VLOOKUP(A265,TB!$A$12:$C$403,3,),0)</f>
        <v>0</v>
      </c>
      <c r="J265" s="3">
        <f t="shared" si="21"/>
        <v>0</v>
      </c>
      <c r="K265" s="3">
        <v>20000</v>
      </c>
      <c r="L265" s="3">
        <v>0</v>
      </c>
      <c r="M265" s="3">
        <v>20000</v>
      </c>
      <c r="N265" s="3">
        <v>0</v>
      </c>
      <c r="O265" s="3">
        <v>0</v>
      </c>
      <c r="P265" s="3">
        <v>0</v>
      </c>
    </row>
    <row r="266" spans="1:16" s="3" customFormat="1">
      <c r="A266" s="3" t="s">
        <v>282</v>
      </c>
      <c r="B266" s="4"/>
      <c r="C266" s="3" t="s">
        <v>283</v>
      </c>
      <c r="D266" s="3" t="s">
        <v>283</v>
      </c>
      <c r="E266" s="3">
        <f>+IFERROR(VLOOKUP(A266,TB!$A$12:$C$403,2,),0)</f>
        <v>51593267</v>
      </c>
      <c r="G266" s="3">
        <f t="shared" si="20"/>
        <v>51593267</v>
      </c>
      <c r="H266" s="3">
        <f>+IFERROR(VLOOKUP(A266,TB!$A$12:$C$403,3,),0)</f>
        <v>0</v>
      </c>
      <c r="J266" s="3">
        <f t="shared" si="21"/>
        <v>0</v>
      </c>
      <c r="K266" s="3">
        <v>63133700</v>
      </c>
      <c r="L266" s="3">
        <v>0</v>
      </c>
      <c r="M266" s="3">
        <v>63133700</v>
      </c>
      <c r="N266" s="3">
        <v>0</v>
      </c>
      <c r="O266" s="3">
        <v>0</v>
      </c>
      <c r="P266" s="3">
        <v>0</v>
      </c>
    </row>
    <row r="267" spans="1:16" s="3" customFormat="1">
      <c r="A267" s="3" t="s">
        <v>284</v>
      </c>
      <c r="B267" s="4">
        <v>6</v>
      </c>
      <c r="C267" s="3" t="s">
        <v>15</v>
      </c>
      <c r="D267" s="3" t="s">
        <v>16</v>
      </c>
      <c r="E267" s="3">
        <f>+IFERROR(VLOOKUP(A267,TB!$A$12:$C$403,2,),0)</f>
        <v>311747</v>
      </c>
      <c r="G267" s="3">
        <f t="shared" ref="G267:G315" si="22">+E267+F267</f>
        <v>311747</v>
      </c>
      <c r="H267" s="3">
        <f>+IFERROR(VLOOKUP(A267,TB!$A$12:$C$403,3,),0)</f>
        <v>0</v>
      </c>
      <c r="J267" s="3">
        <f t="shared" ref="J267:J315" si="23">+H267+I267</f>
        <v>0</v>
      </c>
      <c r="K267" s="3">
        <v>359743</v>
      </c>
      <c r="L267" s="3">
        <v>0</v>
      </c>
      <c r="M267" s="3">
        <v>359743</v>
      </c>
      <c r="N267" s="3">
        <v>0</v>
      </c>
      <c r="O267" s="3">
        <v>0</v>
      </c>
      <c r="P267" s="3">
        <v>0</v>
      </c>
    </row>
    <row r="268" spans="1:16" s="3" customFormat="1">
      <c r="A268" s="3" t="s">
        <v>285</v>
      </c>
      <c r="B268" s="4">
        <v>23</v>
      </c>
      <c r="C268" s="3" t="s">
        <v>102</v>
      </c>
      <c r="D268" s="3" t="s">
        <v>103</v>
      </c>
      <c r="E268" s="3">
        <f>+IFERROR(VLOOKUP(A268,TB!$A$12:$C$403,2,),0)</f>
        <v>28831</v>
      </c>
      <c r="G268" s="3">
        <f t="shared" si="22"/>
        <v>28831</v>
      </c>
      <c r="H268" s="3">
        <f>+IFERROR(VLOOKUP(A268,TB!$A$12:$C$403,3,),0)</f>
        <v>0</v>
      </c>
      <c r="J268" s="3">
        <f t="shared" si="23"/>
        <v>0</v>
      </c>
      <c r="K268" s="3">
        <v>21740</v>
      </c>
      <c r="L268" s="3">
        <v>0</v>
      </c>
      <c r="M268" s="3">
        <v>21740</v>
      </c>
      <c r="N268" s="3">
        <v>0</v>
      </c>
      <c r="O268" s="3">
        <v>0</v>
      </c>
      <c r="P268" s="3">
        <v>0</v>
      </c>
    </row>
    <row r="269" spans="1:16" s="3" customFormat="1">
      <c r="A269" s="3" t="s">
        <v>286</v>
      </c>
      <c r="B269" s="4">
        <v>23</v>
      </c>
      <c r="C269" s="3" t="s">
        <v>102</v>
      </c>
      <c r="D269" s="3" t="s">
        <v>103</v>
      </c>
      <c r="E269" s="3">
        <f>+IFERROR(VLOOKUP(A269,TB!$A$12:$C$403,2,),0)</f>
        <v>1200</v>
      </c>
      <c r="G269" s="3">
        <f t="shared" si="22"/>
        <v>1200</v>
      </c>
      <c r="H269" s="3">
        <f>+IFERROR(VLOOKUP(A269,TB!$A$12:$C$403,3,),0)</f>
        <v>0</v>
      </c>
      <c r="J269" s="3">
        <f t="shared" si="23"/>
        <v>0</v>
      </c>
      <c r="K269" s="3">
        <v>3400</v>
      </c>
      <c r="L269" s="3">
        <v>0</v>
      </c>
      <c r="M269" s="3">
        <v>3400</v>
      </c>
      <c r="N269" s="3">
        <v>0</v>
      </c>
      <c r="O269" s="3">
        <v>0</v>
      </c>
      <c r="P269" s="3">
        <v>0</v>
      </c>
    </row>
    <row r="270" spans="1:16" s="3" customFormat="1">
      <c r="A270" s="3" t="s">
        <v>287</v>
      </c>
      <c r="B270" s="4">
        <v>27</v>
      </c>
      <c r="C270" s="3" t="s">
        <v>77</v>
      </c>
      <c r="D270" s="3" t="s">
        <v>107</v>
      </c>
      <c r="E270" s="3">
        <f>+IFERROR(VLOOKUP(A270,TB!$A$12:$C$403,2,),0)</f>
        <v>2569100</v>
      </c>
      <c r="G270" s="3">
        <f t="shared" si="22"/>
        <v>2569100</v>
      </c>
      <c r="H270" s="3">
        <f>+IFERROR(VLOOKUP(A270,TB!$A$12:$C$403,3,),0)</f>
        <v>0</v>
      </c>
      <c r="J270" s="3">
        <f t="shared" si="23"/>
        <v>0</v>
      </c>
      <c r="K270" s="3">
        <v>5609421</v>
      </c>
      <c r="L270" s="3">
        <v>0</v>
      </c>
      <c r="M270" s="3">
        <v>5609421</v>
      </c>
      <c r="N270" s="3">
        <v>0</v>
      </c>
      <c r="O270" s="3">
        <v>0</v>
      </c>
      <c r="P270" s="3">
        <v>0</v>
      </c>
    </row>
    <row r="271" spans="1:16" s="3" customFormat="1">
      <c r="A271" s="3" t="s">
        <v>289</v>
      </c>
      <c r="B271" s="4">
        <v>27</v>
      </c>
      <c r="C271" s="3" t="s">
        <v>77</v>
      </c>
      <c r="D271" s="3" t="s">
        <v>288</v>
      </c>
      <c r="E271" s="3">
        <f>+IFERROR(VLOOKUP(A271,TB!$A$12:$C$403,2,),0)</f>
        <v>13970</v>
      </c>
      <c r="G271" s="3">
        <f t="shared" si="22"/>
        <v>13970</v>
      </c>
      <c r="H271" s="3">
        <f>+IFERROR(VLOOKUP(A271,TB!$A$12:$C$403,3,),0)</f>
        <v>0</v>
      </c>
      <c r="J271" s="3">
        <f t="shared" si="23"/>
        <v>0</v>
      </c>
      <c r="K271" s="3">
        <v>3050</v>
      </c>
      <c r="L271" s="3">
        <v>0</v>
      </c>
      <c r="M271" s="3">
        <v>3050</v>
      </c>
      <c r="N271" s="3">
        <v>0</v>
      </c>
      <c r="O271" s="3">
        <v>0</v>
      </c>
      <c r="P271" s="3">
        <v>0</v>
      </c>
    </row>
    <row r="272" spans="1:16" s="3" customFormat="1">
      <c r="A272" s="3" t="s">
        <v>291</v>
      </c>
      <c r="B272" s="4">
        <v>23</v>
      </c>
      <c r="C272" s="3" t="s">
        <v>102</v>
      </c>
      <c r="D272" s="3" t="s">
        <v>103</v>
      </c>
      <c r="E272" s="3">
        <f>+IFERROR(VLOOKUP(A272,TB!$A$12:$C$403,2,),0)</f>
        <v>216806</v>
      </c>
      <c r="G272" s="3">
        <f t="shared" si="22"/>
        <v>216806</v>
      </c>
      <c r="H272" s="3">
        <f>+IFERROR(VLOOKUP(A272,TB!$A$12:$C$403,3,),0)</f>
        <v>0</v>
      </c>
      <c r="J272" s="3">
        <f t="shared" si="23"/>
        <v>0</v>
      </c>
      <c r="K272" s="3">
        <v>175062.8</v>
      </c>
      <c r="L272" s="3">
        <v>0</v>
      </c>
      <c r="M272" s="3">
        <v>175062.8</v>
      </c>
      <c r="N272" s="3">
        <v>0</v>
      </c>
      <c r="O272" s="3">
        <v>0</v>
      </c>
      <c r="P272" s="3">
        <v>0</v>
      </c>
    </row>
    <row r="273" spans="1:16" s="3" customFormat="1">
      <c r="A273" s="3" t="s">
        <v>292</v>
      </c>
      <c r="B273" s="4">
        <v>21</v>
      </c>
      <c r="C273" s="3" t="s">
        <v>158</v>
      </c>
      <c r="D273" s="3" t="s">
        <v>159</v>
      </c>
      <c r="E273" s="3">
        <f>+IFERROR(VLOOKUP(A273,TB!$A$12:$C$403,2,),0)</f>
        <v>0</v>
      </c>
      <c r="G273" s="3">
        <f t="shared" si="22"/>
        <v>0</v>
      </c>
      <c r="H273" s="3">
        <f>+IFERROR(VLOOKUP(A273,TB!$A$12:$C$403,3,),0)</f>
        <v>505220</v>
      </c>
      <c r="J273" s="3">
        <f t="shared" si="23"/>
        <v>505220</v>
      </c>
      <c r="K273" s="3">
        <v>0</v>
      </c>
      <c r="L273" s="3">
        <v>0</v>
      </c>
      <c r="M273" s="3">
        <v>0</v>
      </c>
      <c r="N273" s="3">
        <v>393392</v>
      </c>
      <c r="O273" s="3">
        <v>0</v>
      </c>
      <c r="P273" s="3">
        <v>393392</v>
      </c>
    </row>
    <row r="274" spans="1:16" s="3" customFormat="1">
      <c r="A274" s="3" t="s">
        <v>288</v>
      </c>
      <c r="B274" s="4">
        <v>27</v>
      </c>
      <c r="C274" s="3" t="s">
        <v>77</v>
      </c>
      <c r="D274" s="3" t="s">
        <v>288</v>
      </c>
      <c r="E274" s="3">
        <f>+IFERROR(VLOOKUP(A274,TB!$A$12:$C$403,2,),0)</f>
        <v>10675054.880000001</v>
      </c>
      <c r="G274" s="3">
        <f t="shared" si="22"/>
        <v>10675054.880000001</v>
      </c>
      <c r="H274" s="3">
        <f>+IFERROR(VLOOKUP(A274,TB!$A$12:$C$403,3,),0)</f>
        <v>0</v>
      </c>
      <c r="J274" s="3">
        <f t="shared" si="23"/>
        <v>0</v>
      </c>
      <c r="K274" s="3">
        <v>9088041.2200000007</v>
      </c>
      <c r="L274" s="3">
        <v>0</v>
      </c>
      <c r="M274" s="3">
        <v>9088041.2200000007</v>
      </c>
      <c r="N274" s="3">
        <v>0</v>
      </c>
      <c r="O274" s="3">
        <v>0</v>
      </c>
      <c r="P274" s="3">
        <v>0</v>
      </c>
    </row>
    <row r="275" spans="1:16" s="3" customFormat="1">
      <c r="A275" s="3" t="s">
        <v>293</v>
      </c>
      <c r="B275" s="4">
        <v>6</v>
      </c>
      <c r="C275" s="3" t="s">
        <v>15</v>
      </c>
      <c r="D275" s="3" t="s">
        <v>16</v>
      </c>
      <c r="E275" s="3">
        <f>+IFERROR(VLOOKUP(A275,TB!$A$12:$C$403,2,),0)</f>
        <v>0</v>
      </c>
      <c r="G275" s="3">
        <f t="shared" si="22"/>
        <v>0</v>
      </c>
      <c r="H275" s="3">
        <f>+IFERROR(VLOOKUP(A275,TB!$A$12:$C$403,3,),0)</f>
        <v>0</v>
      </c>
      <c r="J275" s="3">
        <f t="shared" si="23"/>
        <v>0</v>
      </c>
      <c r="K275" s="3">
        <v>0</v>
      </c>
      <c r="L275" s="3">
        <v>0</v>
      </c>
      <c r="M275" s="3">
        <v>0</v>
      </c>
      <c r="N275" s="3">
        <v>733</v>
      </c>
      <c r="O275" s="3">
        <v>0</v>
      </c>
      <c r="P275" s="3">
        <v>733</v>
      </c>
    </row>
    <row r="276" spans="1:16" s="3" customFormat="1">
      <c r="A276" s="3" t="s">
        <v>294</v>
      </c>
      <c r="B276" s="4">
        <v>17</v>
      </c>
      <c r="C276" s="3" t="s">
        <v>10</v>
      </c>
      <c r="D276" s="3" t="s">
        <v>10</v>
      </c>
      <c r="E276" s="3">
        <f>+IFERROR(VLOOKUP(A276,TB!$A$12:$C$403,2,),0)</f>
        <v>0</v>
      </c>
      <c r="G276" s="3">
        <f t="shared" si="22"/>
        <v>0</v>
      </c>
      <c r="H276" s="3">
        <f>+IFERROR(VLOOKUP(A276,TB!$A$12:$C$403,3,),0)</f>
        <v>56976</v>
      </c>
      <c r="J276" s="3">
        <f t="shared" si="23"/>
        <v>56976</v>
      </c>
      <c r="K276" s="3">
        <v>0</v>
      </c>
      <c r="L276" s="3">
        <v>0</v>
      </c>
      <c r="M276" s="3">
        <v>0</v>
      </c>
      <c r="N276" s="3">
        <v>0</v>
      </c>
      <c r="O276" s="3">
        <v>0</v>
      </c>
      <c r="P276" s="3">
        <v>0</v>
      </c>
    </row>
    <row r="277" spans="1:16" s="3" customFormat="1">
      <c r="A277" s="3" t="s">
        <v>295</v>
      </c>
      <c r="B277" s="4">
        <v>17</v>
      </c>
      <c r="C277" s="3" t="s">
        <v>10</v>
      </c>
      <c r="D277" s="3" t="s">
        <v>11</v>
      </c>
      <c r="E277" s="3">
        <f>+IFERROR(VLOOKUP(A277,TB!$A$12:$C$403,2,),0)</f>
        <v>0</v>
      </c>
      <c r="G277" s="3">
        <f t="shared" si="22"/>
        <v>0</v>
      </c>
      <c r="H277" s="3">
        <f>+IFERROR(VLOOKUP(A277,TB!$A$12:$C$403,3,),0)</f>
        <v>356852</v>
      </c>
      <c r="J277" s="3">
        <f t="shared" si="23"/>
        <v>356852</v>
      </c>
      <c r="K277" s="3">
        <v>0</v>
      </c>
      <c r="L277" s="3">
        <v>0</v>
      </c>
      <c r="M277" s="3">
        <v>0</v>
      </c>
      <c r="N277" s="3">
        <v>329959</v>
      </c>
      <c r="O277" s="3">
        <v>0</v>
      </c>
      <c r="P277" s="3">
        <v>329959</v>
      </c>
    </row>
    <row r="278" spans="1:16" s="3" customFormat="1">
      <c r="A278" s="3" t="s">
        <v>296</v>
      </c>
      <c r="B278" s="4">
        <v>17</v>
      </c>
      <c r="C278" s="3" t="s">
        <v>10</v>
      </c>
      <c r="D278" s="3" t="s">
        <v>11</v>
      </c>
      <c r="E278" s="3">
        <f>+IFERROR(VLOOKUP(A278,TB!$A$12:$C$403,2,),0)</f>
        <v>0</v>
      </c>
      <c r="G278" s="3">
        <f t="shared" si="22"/>
        <v>0</v>
      </c>
      <c r="H278" s="3">
        <f>+IFERROR(VLOOKUP(A278,TB!$A$12:$C$403,3,),0)</f>
        <v>465751</v>
      </c>
      <c r="J278" s="3">
        <f t="shared" si="23"/>
        <v>465751</v>
      </c>
      <c r="K278" s="3">
        <v>0</v>
      </c>
      <c r="L278" s="3">
        <v>0</v>
      </c>
      <c r="M278" s="3">
        <v>0</v>
      </c>
      <c r="N278" s="3">
        <v>472451</v>
      </c>
      <c r="O278" s="3">
        <v>0</v>
      </c>
      <c r="P278" s="3">
        <v>472451</v>
      </c>
    </row>
    <row r="279" spans="1:16" s="3" customFormat="1">
      <c r="A279" s="3" t="s">
        <v>297</v>
      </c>
      <c r="B279" s="4">
        <v>17</v>
      </c>
      <c r="C279" s="3" t="s">
        <v>10</v>
      </c>
      <c r="D279" s="3" t="s">
        <v>11</v>
      </c>
      <c r="E279" s="3">
        <f>+IFERROR(VLOOKUP(A279,TB!$A$12:$C$403,2,),0)</f>
        <v>0</v>
      </c>
      <c r="G279" s="3">
        <f t="shared" si="22"/>
        <v>0</v>
      </c>
      <c r="H279" s="3">
        <f>+IFERROR(VLOOKUP(A279,TB!$A$12:$C$403,3,),0)</f>
        <v>509568</v>
      </c>
      <c r="J279" s="3">
        <f t="shared" si="23"/>
        <v>509568</v>
      </c>
      <c r="K279" s="3">
        <v>0</v>
      </c>
      <c r="L279" s="3">
        <v>0</v>
      </c>
      <c r="M279" s="3">
        <v>0</v>
      </c>
      <c r="N279" s="3">
        <v>535544</v>
      </c>
      <c r="O279" s="3">
        <v>0</v>
      </c>
      <c r="P279" s="3">
        <v>535544</v>
      </c>
    </row>
    <row r="280" spans="1:16" s="3" customFormat="1">
      <c r="A280" s="3" t="s">
        <v>298</v>
      </c>
      <c r="B280" s="4">
        <v>27</v>
      </c>
      <c r="C280" s="3" t="s">
        <v>51</v>
      </c>
      <c r="D280" s="3" t="s">
        <v>87</v>
      </c>
      <c r="E280" s="3">
        <f>+IFERROR(VLOOKUP(A280,TB!$A$12:$C$403,2,),0)</f>
        <v>225</v>
      </c>
      <c r="G280" s="3">
        <f t="shared" si="22"/>
        <v>225</v>
      </c>
      <c r="H280" s="3">
        <f>+IFERROR(VLOOKUP(A280,TB!$A$12:$C$403,3,),0)</f>
        <v>0</v>
      </c>
      <c r="J280" s="3">
        <f t="shared" si="23"/>
        <v>0</v>
      </c>
      <c r="K280" s="3">
        <v>50</v>
      </c>
      <c r="L280" s="3">
        <v>0</v>
      </c>
      <c r="M280" s="3">
        <v>50</v>
      </c>
      <c r="N280" s="3">
        <v>0</v>
      </c>
      <c r="O280" s="3">
        <v>0</v>
      </c>
      <c r="P280" s="3">
        <v>0</v>
      </c>
    </row>
    <row r="281" spans="1:16" s="3" customFormat="1">
      <c r="A281" s="3" t="s">
        <v>2387</v>
      </c>
      <c r="B281" s="4">
        <v>27</v>
      </c>
      <c r="C281" s="3" t="s">
        <v>51</v>
      </c>
      <c r="D281" s="3" t="s">
        <v>87</v>
      </c>
      <c r="E281" s="3">
        <f>+IFERROR(VLOOKUP(A281,TB!$A$12:$C$403,2,),0)</f>
        <v>2956</v>
      </c>
      <c r="G281" s="3">
        <f t="shared" ref="G281" si="24">+E281+F281</f>
        <v>2956</v>
      </c>
      <c r="H281" s="3">
        <f>+IFERROR(VLOOKUP(A281,TB!$A$12:$C$403,3,),0)</f>
        <v>0</v>
      </c>
      <c r="J281" s="3">
        <f t="shared" ref="J281" si="25">+H281+I281</f>
        <v>0</v>
      </c>
    </row>
    <row r="282" spans="1:16" s="3" customFormat="1">
      <c r="A282" s="3" t="s">
        <v>299</v>
      </c>
      <c r="B282" s="4">
        <v>27</v>
      </c>
      <c r="C282" s="3" t="s">
        <v>51</v>
      </c>
      <c r="D282" s="3" t="s">
        <v>87</v>
      </c>
      <c r="E282" s="3">
        <f>+IFERROR(VLOOKUP(A282,TB!$A$12:$C$403,2,),0)</f>
        <v>226000</v>
      </c>
      <c r="G282" s="3">
        <f t="shared" si="22"/>
        <v>226000</v>
      </c>
      <c r="H282" s="3">
        <f>+IFERROR(VLOOKUP(A282,TB!$A$12:$C$403,3,),0)</f>
        <v>0</v>
      </c>
      <c r="J282" s="3">
        <f t="shared" si="23"/>
        <v>0</v>
      </c>
      <c r="K282" s="3">
        <v>46000</v>
      </c>
      <c r="L282" s="3">
        <v>0</v>
      </c>
      <c r="M282" s="3">
        <v>46000</v>
      </c>
      <c r="N282" s="3">
        <v>0</v>
      </c>
      <c r="O282" s="3">
        <v>0</v>
      </c>
      <c r="P282" s="3">
        <v>0</v>
      </c>
    </row>
    <row r="283" spans="1:16" s="3" customFormat="1">
      <c r="A283" s="3" t="s">
        <v>300</v>
      </c>
      <c r="B283" s="4">
        <v>27</v>
      </c>
      <c r="C283" s="3" t="s">
        <v>51</v>
      </c>
      <c r="D283" s="3" t="s">
        <v>87</v>
      </c>
      <c r="E283" s="3">
        <f>+IFERROR(VLOOKUP(A283,TB!$A$12:$C$403,2,),0)</f>
        <v>225</v>
      </c>
      <c r="G283" s="3">
        <f t="shared" si="22"/>
        <v>225</v>
      </c>
      <c r="H283" s="3">
        <f>+IFERROR(VLOOKUP(A283,TB!$A$12:$C$403,3,),0)</f>
        <v>0</v>
      </c>
      <c r="J283" s="3">
        <f t="shared" si="23"/>
        <v>0</v>
      </c>
      <c r="K283" s="3">
        <v>50</v>
      </c>
      <c r="L283" s="3">
        <v>0</v>
      </c>
      <c r="M283" s="3">
        <v>50</v>
      </c>
      <c r="N283" s="3">
        <v>0</v>
      </c>
      <c r="O283" s="3">
        <v>0</v>
      </c>
      <c r="P283" s="3">
        <v>0</v>
      </c>
    </row>
    <row r="284" spans="1:16" s="3" customFormat="1">
      <c r="A284" s="3" t="s">
        <v>301</v>
      </c>
      <c r="B284" s="4">
        <v>27</v>
      </c>
      <c r="C284" s="3" t="s">
        <v>51</v>
      </c>
      <c r="D284" s="3" t="s">
        <v>87</v>
      </c>
      <c r="E284" s="3">
        <f>+IFERROR(VLOOKUP(A284,TB!$A$12:$C$403,2,),0)</f>
        <v>0</v>
      </c>
      <c r="G284" s="3">
        <f t="shared" si="22"/>
        <v>0</v>
      </c>
      <c r="H284" s="3">
        <f>+IFERROR(VLOOKUP(A284,TB!$A$12:$C$403,3,),0)</f>
        <v>0</v>
      </c>
      <c r="J284" s="3">
        <f t="shared" si="23"/>
        <v>0</v>
      </c>
      <c r="K284" s="3">
        <v>2360</v>
      </c>
      <c r="L284" s="3">
        <v>0</v>
      </c>
      <c r="M284" s="3">
        <v>2360</v>
      </c>
      <c r="N284" s="3">
        <v>0</v>
      </c>
      <c r="O284" s="3">
        <v>0</v>
      </c>
      <c r="P284" s="3">
        <v>0</v>
      </c>
    </row>
    <row r="285" spans="1:16" s="3" customFormat="1">
      <c r="A285" s="3" t="s">
        <v>302</v>
      </c>
      <c r="B285" s="4">
        <v>2</v>
      </c>
      <c r="C285" s="3" t="s">
        <v>82</v>
      </c>
      <c r="D285" s="3" t="s">
        <v>83</v>
      </c>
      <c r="E285" s="3">
        <f>+IFERROR(VLOOKUP(A285,TB!$A$12:$C$403,2,),0)</f>
        <v>222167592.13999999</v>
      </c>
      <c r="G285" s="3">
        <f t="shared" si="22"/>
        <v>222167592.13999999</v>
      </c>
      <c r="H285" s="3">
        <f>+IFERROR(VLOOKUP(A285,TB!$A$12:$C$403,3,),0)</f>
        <v>0</v>
      </c>
      <c r="J285" s="3">
        <f t="shared" si="23"/>
        <v>0</v>
      </c>
      <c r="K285" s="3">
        <v>222104414.13999999</v>
      </c>
      <c r="L285" s="3">
        <v>0</v>
      </c>
      <c r="M285" s="3">
        <v>222104414.13999999</v>
      </c>
      <c r="N285" s="3">
        <v>0</v>
      </c>
      <c r="O285" s="3">
        <v>0</v>
      </c>
      <c r="P285" s="3">
        <v>0</v>
      </c>
    </row>
    <row r="286" spans="1:16" s="3" customFormat="1">
      <c r="A286" s="3" t="s">
        <v>303</v>
      </c>
      <c r="B286" s="4">
        <v>27</v>
      </c>
      <c r="C286" s="3" t="s">
        <v>51</v>
      </c>
      <c r="D286" s="3" t="s">
        <v>52</v>
      </c>
      <c r="E286" s="3">
        <f>+IFERROR(VLOOKUP(A286,TB!$A$12:$C$403,2,),0)</f>
        <v>84492</v>
      </c>
      <c r="G286" s="3">
        <f t="shared" si="22"/>
        <v>84492</v>
      </c>
      <c r="H286" s="3">
        <f>+IFERROR(VLOOKUP(A286,TB!$A$12:$C$403,3,),0)</f>
        <v>0</v>
      </c>
      <c r="J286" s="3">
        <f t="shared" si="23"/>
        <v>0</v>
      </c>
      <c r="K286" s="3">
        <v>111499</v>
      </c>
      <c r="L286" s="3">
        <v>0</v>
      </c>
      <c r="M286" s="3">
        <v>111499</v>
      </c>
      <c r="N286" s="3">
        <v>0</v>
      </c>
      <c r="O286" s="3">
        <v>0</v>
      </c>
      <c r="P286" s="3">
        <v>0</v>
      </c>
    </row>
    <row r="287" spans="1:16" s="3" customFormat="1">
      <c r="A287" s="3" t="s">
        <v>2384</v>
      </c>
      <c r="B287" s="4">
        <v>17</v>
      </c>
      <c r="C287" s="3" t="s">
        <v>10</v>
      </c>
      <c r="D287" s="3" t="s">
        <v>11</v>
      </c>
      <c r="E287" s="3">
        <f>+IFERROR(VLOOKUP(A287,TB!$A$12:$C$403,2,),0)</f>
        <v>9980</v>
      </c>
      <c r="G287" s="3">
        <f t="shared" ref="G287" si="26">+E287+F287</f>
        <v>9980</v>
      </c>
      <c r="H287" s="3">
        <f>+IFERROR(VLOOKUP(A287,TB!$A$12:$C$403,3,),0)</f>
        <v>0</v>
      </c>
      <c r="J287" s="3">
        <f t="shared" ref="J287" si="27">+H287+I287</f>
        <v>0</v>
      </c>
    </row>
    <row r="288" spans="1:16" s="3" customFormat="1">
      <c r="A288" s="3" t="s">
        <v>304</v>
      </c>
      <c r="B288" s="4">
        <v>17</v>
      </c>
      <c r="C288" s="3" t="s">
        <v>10</v>
      </c>
      <c r="D288" s="3" t="s">
        <v>11</v>
      </c>
      <c r="E288" s="3">
        <f>+IFERROR(VLOOKUP(A288,TB!$A$12:$C$403,2,),0)</f>
        <v>0</v>
      </c>
      <c r="G288" s="3">
        <f t="shared" si="22"/>
        <v>0</v>
      </c>
      <c r="H288" s="3">
        <f>+IFERROR(VLOOKUP(A288,TB!$A$12:$C$403,3,),0)</f>
        <v>7145017</v>
      </c>
      <c r="J288" s="3">
        <f t="shared" si="23"/>
        <v>7145017</v>
      </c>
      <c r="K288" s="3">
        <v>0</v>
      </c>
      <c r="L288" s="3">
        <v>0</v>
      </c>
      <c r="M288" s="3">
        <v>0</v>
      </c>
      <c r="N288" s="3">
        <v>6195758</v>
      </c>
      <c r="O288" s="3">
        <v>0</v>
      </c>
      <c r="P288" s="3">
        <v>6195758</v>
      </c>
    </row>
    <row r="289" spans="1:16" s="3" customFormat="1">
      <c r="A289" s="3" t="s">
        <v>1000</v>
      </c>
      <c r="B289" s="4">
        <v>17</v>
      </c>
      <c r="C289" s="3" t="s">
        <v>10</v>
      </c>
      <c r="D289" s="3" t="s">
        <v>11</v>
      </c>
      <c r="E289" s="3">
        <f>+IFERROR(VLOOKUP(A289,TB!$A$12:$C$403,2,),0)</f>
        <v>0</v>
      </c>
      <c r="G289" s="3">
        <f t="shared" ref="G289:G290" si="28">+E289+F289</f>
        <v>0</v>
      </c>
      <c r="H289" s="3">
        <f>+IFERROR(VLOOKUP(A289,TB!$A$12:$C$403,3,),0)</f>
        <v>2200000</v>
      </c>
      <c r="J289" s="3">
        <f t="shared" ref="J289:J290" si="29">+H289+I289</f>
        <v>2200000</v>
      </c>
    </row>
    <row r="290" spans="1:16" s="3" customFormat="1">
      <c r="A290" s="3" t="s">
        <v>2385</v>
      </c>
      <c r="B290" s="4">
        <v>17</v>
      </c>
      <c r="C290" s="3" t="s">
        <v>10</v>
      </c>
      <c r="D290" s="3" t="s">
        <v>11</v>
      </c>
      <c r="E290" s="3">
        <f>+IFERROR(VLOOKUP(A290,TB!$A$12:$C$403,2,),0)</f>
        <v>2380</v>
      </c>
      <c r="G290" s="3">
        <f t="shared" si="28"/>
        <v>2380</v>
      </c>
      <c r="H290" s="3">
        <f>+IFERROR(VLOOKUP(A290,TB!$A$12:$C$403,3,),0)</f>
        <v>0</v>
      </c>
      <c r="J290" s="3">
        <f t="shared" si="29"/>
        <v>0</v>
      </c>
      <c r="K290" s="3">
        <v>0</v>
      </c>
      <c r="L290" s="3">
        <v>0</v>
      </c>
      <c r="M290" s="3">
        <v>0</v>
      </c>
      <c r="N290" s="3">
        <v>0</v>
      </c>
      <c r="O290" s="3">
        <v>0</v>
      </c>
      <c r="P290" s="3">
        <v>0</v>
      </c>
    </row>
    <row r="291" spans="1:16" s="3" customFormat="1">
      <c r="A291" s="3" t="s">
        <v>305</v>
      </c>
      <c r="B291" s="4">
        <v>6</v>
      </c>
      <c r="C291" s="3" t="s">
        <v>15</v>
      </c>
      <c r="D291" s="3" t="s">
        <v>16</v>
      </c>
      <c r="E291" s="3">
        <f>+IFERROR(VLOOKUP(A291,TB!$A$12:$C$403,2,),0)</f>
        <v>2898184</v>
      </c>
      <c r="G291" s="3">
        <f t="shared" si="22"/>
        <v>2898184</v>
      </c>
      <c r="H291" s="3">
        <f>+IFERROR(VLOOKUP(A291,TB!$A$12:$C$403,3,),0)</f>
        <v>0</v>
      </c>
      <c r="J291" s="3">
        <f t="shared" si="23"/>
        <v>0</v>
      </c>
      <c r="K291" s="3">
        <v>12971715</v>
      </c>
      <c r="L291" s="3">
        <v>0</v>
      </c>
      <c r="M291" s="3">
        <v>12971715</v>
      </c>
      <c r="N291" s="3">
        <v>0</v>
      </c>
      <c r="O291" s="3">
        <v>0</v>
      </c>
      <c r="P291" s="3">
        <v>0</v>
      </c>
    </row>
    <row r="292" spans="1:16" s="3" customFormat="1">
      <c r="A292" s="3" t="s">
        <v>306</v>
      </c>
      <c r="B292" s="4">
        <v>10</v>
      </c>
      <c r="C292" s="3" t="s">
        <v>34</v>
      </c>
      <c r="D292" s="3" t="s">
        <v>221</v>
      </c>
      <c r="E292" s="3">
        <f>+IFERROR(VLOOKUP(A292,TB!$A$12:$C$403,2,),0)</f>
        <v>758892</v>
      </c>
      <c r="G292" s="3">
        <f t="shared" si="22"/>
        <v>758892</v>
      </c>
      <c r="H292" s="3">
        <f>+IFERROR(VLOOKUP(A292,TB!$A$12:$C$403,3,),0)</f>
        <v>0</v>
      </c>
      <c r="J292" s="3">
        <f t="shared" si="23"/>
        <v>0</v>
      </c>
      <c r="K292" s="3">
        <v>519498</v>
      </c>
      <c r="L292" s="3">
        <v>0</v>
      </c>
      <c r="M292" s="3">
        <v>519498</v>
      </c>
      <c r="N292" s="3">
        <v>0</v>
      </c>
      <c r="O292" s="3">
        <v>0</v>
      </c>
      <c r="P292" s="3">
        <v>0</v>
      </c>
    </row>
    <row r="293" spans="1:16" s="3" customFormat="1">
      <c r="A293" s="3" t="s">
        <v>307</v>
      </c>
      <c r="B293" s="4">
        <v>3</v>
      </c>
      <c r="C293" s="3" t="s">
        <v>130</v>
      </c>
      <c r="D293" s="3" t="s">
        <v>131</v>
      </c>
      <c r="E293" s="3">
        <f>+IFERROR(VLOOKUP(A293,TB!$A$12:$C$403,2,),0)</f>
        <v>164180</v>
      </c>
      <c r="G293" s="3">
        <f t="shared" si="22"/>
        <v>164180</v>
      </c>
      <c r="H293" s="3">
        <f>+IFERROR(VLOOKUP(A293,TB!$A$12:$C$403,3,),0)</f>
        <v>0</v>
      </c>
      <c r="J293" s="3">
        <f t="shared" si="23"/>
        <v>0</v>
      </c>
      <c r="K293" s="3">
        <v>0</v>
      </c>
      <c r="L293" s="3">
        <v>0</v>
      </c>
      <c r="M293" s="3">
        <v>0</v>
      </c>
      <c r="N293" s="3">
        <v>0</v>
      </c>
      <c r="O293" s="3">
        <v>0</v>
      </c>
      <c r="P293" s="3">
        <v>0</v>
      </c>
    </row>
    <row r="294" spans="1:16" s="3" customFormat="1">
      <c r="A294" s="3" t="s">
        <v>308</v>
      </c>
      <c r="B294" s="4">
        <v>27</v>
      </c>
      <c r="C294" s="3" t="s">
        <v>51</v>
      </c>
      <c r="D294" s="3" t="s">
        <v>111</v>
      </c>
      <c r="E294" s="3">
        <f>+IFERROR(VLOOKUP(A294,TB!$A$12:$C$403,2,),0)</f>
        <v>671000</v>
      </c>
      <c r="G294" s="3">
        <f t="shared" si="22"/>
        <v>671000</v>
      </c>
      <c r="H294" s="3">
        <f>+IFERROR(VLOOKUP(A294,TB!$A$12:$C$403,3,),0)</f>
        <v>0</v>
      </c>
      <c r="J294" s="3">
        <f t="shared" si="23"/>
        <v>0</v>
      </c>
      <c r="K294" s="3">
        <v>1238830</v>
      </c>
      <c r="L294" s="3">
        <v>0</v>
      </c>
      <c r="M294" s="3">
        <v>1238830</v>
      </c>
      <c r="N294" s="3">
        <v>0</v>
      </c>
      <c r="O294" s="3">
        <v>0</v>
      </c>
      <c r="P294" s="3">
        <v>0</v>
      </c>
    </row>
    <row r="295" spans="1:16" s="3" customFormat="1">
      <c r="A295" s="3" t="s">
        <v>309</v>
      </c>
      <c r="B295" s="4">
        <v>27</v>
      </c>
      <c r="C295" s="3" t="s">
        <v>51</v>
      </c>
      <c r="D295" s="3" t="s">
        <v>87</v>
      </c>
      <c r="E295" s="3">
        <f>+IFERROR(VLOOKUP(A295,TB!$A$12:$C$403,2,),0)</f>
        <v>10000</v>
      </c>
      <c r="G295" s="3">
        <f t="shared" si="22"/>
        <v>10000</v>
      </c>
      <c r="H295" s="3">
        <f>+IFERROR(VLOOKUP(A295,TB!$A$12:$C$403,3,),0)</f>
        <v>0</v>
      </c>
      <c r="J295" s="3">
        <f t="shared" si="23"/>
        <v>0</v>
      </c>
      <c r="K295" s="3">
        <v>0</v>
      </c>
      <c r="L295" s="3">
        <v>0</v>
      </c>
      <c r="M295" s="3">
        <v>0</v>
      </c>
      <c r="N295" s="3">
        <v>0</v>
      </c>
      <c r="O295" s="3">
        <v>0</v>
      </c>
      <c r="P295" s="3">
        <v>0</v>
      </c>
    </row>
    <row r="296" spans="1:16" s="3" customFormat="1">
      <c r="A296" s="3" t="s">
        <v>310</v>
      </c>
      <c r="B296" s="4"/>
      <c r="C296" s="3" t="s">
        <v>85</v>
      </c>
      <c r="D296" s="3" t="s">
        <v>311</v>
      </c>
      <c r="E296" s="3">
        <f>+IFERROR(VLOOKUP(A296,TB!$A$12:$C$403,2,),0)</f>
        <v>0</v>
      </c>
      <c r="G296" s="3">
        <f t="shared" si="22"/>
        <v>0</v>
      </c>
      <c r="H296" s="3">
        <f>+IFERROR(VLOOKUP(A296,TB!$A$12:$C$403,3,),0)</f>
        <v>164517556.99000001</v>
      </c>
      <c r="J296" s="3">
        <f t="shared" si="23"/>
        <v>164517556.99000001</v>
      </c>
      <c r="K296" s="3">
        <v>0</v>
      </c>
      <c r="L296" s="3">
        <v>0</v>
      </c>
      <c r="M296" s="3">
        <v>0</v>
      </c>
      <c r="N296" s="3">
        <v>159588193.24000001</v>
      </c>
      <c r="O296" s="3">
        <v>0</v>
      </c>
      <c r="P296" s="3">
        <v>159588193.24000001</v>
      </c>
    </row>
    <row r="297" spans="1:16" s="3" customFormat="1">
      <c r="A297" s="3" t="s">
        <v>312</v>
      </c>
      <c r="B297" s="4"/>
      <c r="C297" s="3" t="s">
        <v>85</v>
      </c>
      <c r="D297" s="3" t="s">
        <v>311</v>
      </c>
      <c r="E297" s="3">
        <f>+IFERROR(VLOOKUP(A297,TB!$A$12:$C$403,2,),0)</f>
        <v>0</v>
      </c>
      <c r="G297" s="3">
        <f t="shared" si="22"/>
        <v>0</v>
      </c>
      <c r="H297" s="3">
        <f>+IFERROR(VLOOKUP(A297,TB!$A$12:$C$403,3,),0)</f>
        <v>453421</v>
      </c>
      <c r="J297" s="3">
        <f t="shared" si="23"/>
        <v>453421</v>
      </c>
      <c r="K297" s="3">
        <v>0</v>
      </c>
      <c r="L297" s="3">
        <v>0</v>
      </c>
      <c r="M297" s="3">
        <v>0</v>
      </c>
      <c r="N297" s="3">
        <v>1104075</v>
      </c>
      <c r="O297" s="3">
        <v>0</v>
      </c>
      <c r="P297" s="3">
        <v>1104075</v>
      </c>
    </row>
    <row r="298" spans="1:16" s="3" customFormat="1">
      <c r="A298" s="3" t="s">
        <v>313</v>
      </c>
      <c r="B298" s="4">
        <v>21</v>
      </c>
      <c r="C298" s="3" t="s">
        <v>158</v>
      </c>
      <c r="D298" s="3" t="s">
        <v>314</v>
      </c>
      <c r="E298" s="3">
        <f>+IFERROR(VLOOKUP(A298,TB!$A$12:$C$403,2,),0)</f>
        <v>0</v>
      </c>
      <c r="G298" s="3">
        <f t="shared" si="22"/>
        <v>0</v>
      </c>
      <c r="H298" s="3">
        <f>+IFERROR(VLOOKUP(A298,TB!$A$12:$C$403,3,),0)</f>
        <v>9443500</v>
      </c>
      <c r="J298" s="3">
        <f t="shared" si="23"/>
        <v>9443500</v>
      </c>
      <c r="K298" s="3">
        <v>0</v>
      </c>
      <c r="L298" s="3">
        <v>0</v>
      </c>
      <c r="M298" s="3">
        <v>0</v>
      </c>
      <c r="N298" s="3">
        <v>9433000</v>
      </c>
      <c r="O298" s="3">
        <v>0</v>
      </c>
      <c r="P298" s="3">
        <v>9433000</v>
      </c>
    </row>
    <row r="299" spans="1:16" s="3" customFormat="1">
      <c r="A299" s="3" t="s">
        <v>315</v>
      </c>
      <c r="B299" s="4">
        <v>25</v>
      </c>
      <c r="C299" s="3" t="s">
        <v>155</v>
      </c>
      <c r="D299" s="3" t="s">
        <v>172</v>
      </c>
      <c r="E299" s="3">
        <f>+IFERROR(VLOOKUP(A299,TB!$A$12:$C$403,2,),0)</f>
        <v>1309161</v>
      </c>
      <c r="G299" s="3">
        <f t="shared" si="22"/>
        <v>1309161</v>
      </c>
      <c r="H299" s="3">
        <f>+IFERROR(VLOOKUP(A299,TB!$A$12:$C$403,3,),0)</f>
        <v>0</v>
      </c>
      <c r="J299" s="3">
        <f t="shared" si="23"/>
        <v>0</v>
      </c>
      <c r="K299" s="3">
        <v>1283384</v>
      </c>
      <c r="L299" s="3">
        <v>0</v>
      </c>
      <c r="M299" s="3">
        <v>1283384</v>
      </c>
      <c r="N299" s="3">
        <v>0</v>
      </c>
      <c r="O299" s="3">
        <v>0</v>
      </c>
      <c r="P299" s="3">
        <v>0</v>
      </c>
    </row>
    <row r="300" spans="1:16" s="3" customFormat="1">
      <c r="A300" s="3" t="s">
        <v>316</v>
      </c>
      <c r="B300" s="4">
        <v>14</v>
      </c>
      <c r="C300" s="3" t="s">
        <v>138</v>
      </c>
      <c r="D300" s="3" t="s">
        <v>139</v>
      </c>
      <c r="E300" s="3">
        <f>+IFERROR(VLOOKUP(A300,TB!$A$12:$C$403,2,),0)</f>
        <v>0</v>
      </c>
      <c r="G300" s="3">
        <f t="shared" si="22"/>
        <v>0</v>
      </c>
      <c r="H300" s="3">
        <f>+IFERROR(VLOOKUP(A300,TB!$A$12:$C$403,3,),0)</f>
        <v>5028548</v>
      </c>
      <c r="J300" s="3">
        <f t="shared" si="23"/>
        <v>5028548</v>
      </c>
      <c r="K300" s="3">
        <v>0</v>
      </c>
      <c r="L300" s="3">
        <v>0</v>
      </c>
      <c r="M300" s="3">
        <v>0</v>
      </c>
      <c r="N300" s="3">
        <v>4610451</v>
      </c>
      <c r="O300" s="3">
        <v>0</v>
      </c>
      <c r="P300" s="3">
        <v>4610451</v>
      </c>
    </row>
    <row r="301" spans="1:16" s="3" customFormat="1">
      <c r="A301" s="3" t="s">
        <v>317</v>
      </c>
      <c r="B301" s="4">
        <v>2</v>
      </c>
      <c r="C301" s="3" t="s">
        <v>82</v>
      </c>
      <c r="D301" s="3" t="s">
        <v>318</v>
      </c>
      <c r="E301" s="3">
        <f>+IFERROR(VLOOKUP(A301,TB!$A$12:$C$403,2,),0)</f>
        <v>0</v>
      </c>
      <c r="G301" s="3">
        <f t="shared" si="22"/>
        <v>0</v>
      </c>
      <c r="H301" s="3">
        <f>+IFERROR(VLOOKUP(A301,TB!$A$12:$C$403,3,),0)</f>
        <v>8886648</v>
      </c>
      <c r="J301" s="3">
        <f t="shared" si="23"/>
        <v>8886648</v>
      </c>
      <c r="K301" s="3">
        <v>0</v>
      </c>
      <c r="L301" s="3">
        <v>0</v>
      </c>
      <c r="M301" s="3">
        <v>0</v>
      </c>
      <c r="N301" s="3">
        <v>7061027</v>
      </c>
      <c r="O301" s="3">
        <v>0</v>
      </c>
      <c r="P301" s="3">
        <f>+N301</f>
        <v>7061027</v>
      </c>
    </row>
    <row r="302" spans="1:16" s="3" customFormat="1">
      <c r="A302" s="3" t="s">
        <v>319</v>
      </c>
      <c r="B302" s="4">
        <v>2</v>
      </c>
      <c r="C302" s="3" t="s">
        <v>82</v>
      </c>
      <c r="D302" s="3" t="s">
        <v>318</v>
      </c>
      <c r="E302" s="3">
        <f>+IFERROR(VLOOKUP(A302,TB!$A$12:$C$403,2,),0)</f>
        <v>0</v>
      </c>
      <c r="G302" s="3">
        <f t="shared" si="22"/>
        <v>0</v>
      </c>
      <c r="H302" s="3">
        <f>+IFERROR(VLOOKUP(A302,TB!$A$12:$C$403,3,),0)</f>
        <v>771454</v>
      </c>
      <c r="J302" s="3">
        <f t="shared" si="23"/>
        <v>771454</v>
      </c>
      <c r="K302" s="3">
        <v>0</v>
      </c>
      <c r="L302" s="3">
        <v>0</v>
      </c>
      <c r="M302" s="3">
        <v>0</v>
      </c>
      <c r="N302" s="3">
        <v>730456</v>
      </c>
      <c r="O302" s="3">
        <v>0</v>
      </c>
      <c r="P302" s="3">
        <v>730456</v>
      </c>
    </row>
    <row r="303" spans="1:16" s="3" customFormat="1">
      <c r="A303" s="3" t="s">
        <v>320</v>
      </c>
      <c r="B303" s="4">
        <v>2</v>
      </c>
      <c r="C303" s="3" t="s">
        <v>82</v>
      </c>
      <c r="D303" s="3" t="s">
        <v>318</v>
      </c>
      <c r="E303" s="3">
        <f>+IFERROR(VLOOKUP(A303,TB!$A$12:$C$403,2,),0)</f>
        <v>0</v>
      </c>
      <c r="G303" s="3">
        <f t="shared" si="22"/>
        <v>0</v>
      </c>
      <c r="H303" s="3">
        <f>+IFERROR(VLOOKUP(A303,TB!$A$12:$C$403,3,),0)</f>
        <v>19886895</v>
      </c>
      <c r="J303" s="3">
        <f t="shared" si="23"/>
        <v>19886895</v>
      </c>
      <c r="K303" s="3">
        <v>0</v>
      </c>
      <c r="L303" s="3">
        <v>0</v>
      </c>
      <c r="M303" s="3">
        <v>0</v>
      </c>
      <c r="N303" s="3">
        <v>18195794</v>
      </c>
      <c r="O303" s="3">
        <v>0</v>
      </c>
      <c r="P303" s="3">
        <v>18195794</v>
      </c>
    </row>
    <row r="304" spans="1:16" s="3" customFormat="1">
      <c r="A304" s="3" t="s">
        <v>321</v>
      </c>
      <c r="B304" s="4">
        <v>2</v>
      </c>
      <c r="C304" s="3" t="s">
        <v>82</v>
      </c>
      <c r="D304" s="3" t="s">
        <v>318</v>
      </c>
      <c r="E304" s="3">
        <f>+IFERROR(VLOOKUP(A304,TB!$A$12:$C$403,2,),0)</f>
        <v>0</v>
      </c>
      <c r="G304" s="3">
        <f t="shared" si="22"/>
        <v>0</v>
      </c>
      <c r="H304" s="3">
        <f>+IFERROR(VLOOKUP(A304,TB!$A$12:$C$403,3,),0)</f>
        <v>379192</v>
      </c>
      <c r="J304" s="3">
        <f t="shared" si="23"/>
        <v>379192</v>
      </c>
      <c r="K304" s="3">
        <v>0</v>
      </c>
      <c r="L304" s="3">
        <v>0</v>
      </c>
      <c r="M304" s="3">
        <v>0</v>
      </c>
      <c r="N304" s="3">
        <v>379192</v>
      </c>
      <c r="O304" s="3">
        <v>0</v>
      </c>
      <c r="P304" s="3">
        <v>379192</v>
      </c>
    </row>
    <row r="305" spans="1:16" s="3" customFormat="1">
      <c r="A305" s="3" t="s">
        <v>322</v>
      </c>
      <c r="B305" s="4">
        <v>2</v>
      </c>
      <c r="C305" s="3" t="s">
        <v>82</v>
      </c>
      <c r="D305" s="3" t="s">
        <v>318</v>
      </c>
      <c r="E305" s="3">
        <f>+IFERROR(VLOOKUP(A305,TB!$A$12:$C$403,2,),0)</f>
        <v>0</v>
      </c>
      <c r="G305" s="3">
        <f t="shared" si="22"/>
        <v>0</v>
      </c>
      <c r="H305" s="3">
        <f>+IFERROR(VLOOKUP(A305,TB!$A$12:$C$403,3,),0)</f>
        <v>1114747</v>
      </c>
      <c r="J305" s="3">
        <f t="shared" si="23"/>
        <v>1114747</v>
      </c>
      <c r="K305" s="3">
        <v>0</v>
      </c>
      <c r="L305" s="3">
        <v>0</v>
      </c>
      <c r="M305" s="3">
        <v>0</v>
      </c>
      <c r="N305" s="3">
        <v>1062735</v>
      </c>
      <c r="O305" s="3">
        <v>0</v>
      </c>
      <c r="P305" s="3">
        <v>1062735</v>
      </c>
    </row>
    <row r="306" spans="1:16" s="3" customFormat="1">
      <c r="A306" s="3" t="s">
        <v>323</v>
      </c>
      <c r="B306" s="4">
        <v>2</v>
      </c>
      <c r="C306" s="3" t="s">
        <v>82</v>
      </c>
      <c r="D306" s="3" t="s">
        <v>318</v>
      </c>
      <c r="E306" s="3">
        <f>+IFERROR(VLOOKUP(A306,TB!$A$12:$C$403,2,),0)</f>
        <v>0</v>
      </c>
      <c r="G306" s="3">
        <f t="shared" si="22"/>
        <v>0</v>
      </c>
      <c r="H306" s="3">
        <f>+IFERROR(VLOOKUP(A306,TB!$A$12:$C$403,3,),0)</f>
        <v>817411</v>
      </c>
      <c r="J306" s="3">
        <f t="shared" si="23"/>
        <v>817411</v>
      </c>
      <c r="K306" s="3">
        <v>0</v>
      </c>
      <c r="L306" s="3">
        <v>0</v>
      </c>
      <c r="M306" s="3">
        <v>0</v>
      </c>
      <c r="N306" s="3">
        <v>712545</v>
      </c>
      <c r="O306" s="3">
        <v>0</v>
      </c>
      <c r="P306" s="3">
        <v>712545</v>
      </c>
    </row>
    <row r="307" spans="1:16" s="3" customFormat="1">
      <c r="A307" s="3" t="s">
        <v>324</v>
      </c>
      <c r="B307" s="4">
        <v>2</v>
      </c>
      <c r="C307" s="3" t="s">
        <v>82</v>
      </c>
      <c r="D307" s="3" t="s">
        <v>318</v>
      </c>
      <c r="E307" s="3">
        <f>+IFERROR(VLOOKUP(A307,TB!$A$12:$C$403,2,),0)</f>
        <v>0</v>
      </c>
      <c r="G307" s="3">
        <f t="shared" si="22"/>
        <v>0</v>
      </c>
      <c r="H307" s="3">
        <f>+IFERROR(VLOOKUP(A307,TB!$A$12:$C$403,3,),0)</f>
        <v>127155757</v>
      </c>
      <c r="J307" s="3">
        <f t="shared" si="23"/>
        <v>127155757</v>
      </c>
      <c r="K307" s="3">
        <v>0</v>
      </c>
      <c r="L307" s="3">
        <v>0</v>
      </c>
      <c r="M307" s="3">
        <v>0</v>
      </c>
      <c r="N307" s="3">
        <v>113124922</v>
      </c>
      <c r="O307" s="3">
        <v>0</v>
      </c>
      <c r="P307" s="3">
        <v>113124922</v>
      </c>
    </row>
    <row r="308" spans="1:16" s="3" customFormat="1">
      <c r="A308" s="3" t="s">
        <v>325</v>
      </c>
      <c r="B308" s="4">
        <v>2</v>
      </c>
      <c r="C308" s="3" t="s">
        <v>82</v>
      </c>
      <c r="D308" s="3" t="s">
        <v>318</v>
      </c>
      <c r="E308" s="3">
        <f>+IFERROR(VLOOKUP(A308,TB!$A$12:$C$403,2,),0)</f>
        <v>0</v>
      </c>
      <c r="G308" s="3">
        <f t="shared" si="22"/>
        <v>0</v>
      </c>
      <c r="H308" s="3">
        <f>+IFERROR(VLOOKUP(A308,TB!$A$12:$C$403,3,),0)</f>
        <v>1264103</v>
      </c>
      <c r="J308" s="3">
        <f t="shared" si="23"/>
        <v>1264103</v>
      </c>
      <c r="K308" s="3">
        <v>0</v>
      </c>
      <c r="L308" s="3">
        <v>0</v>
      </c>
      <c r="M308" s="3">
        <v>0</v>
      </c>
      <c r="N308" s="3">
        <v>927869</v>
      </c>
      <c r="O308" s="3">
        <v>0</v>
      </c>
      <c r="P308" s="3">
        <v>927869</v>
      </c>
    </row>
    <row r="309" spans="1:16" s="3" customFormat="1">
      <c r="A309" s="3" t="s">
        <v>326</v>
      </c>
      <c r="B309" s="4">
        <v>11</v>
      </c>
      <c r="C309" s="3" t="s">
        <v>27</v>
      </c>
      <c r="D309" s="3" t="s">
        <v>28</v>
      </c>
      <c r="E309" s="3">
        <f>+IFERROR(VLOOKUP(A309,TB!$A$12:$C$403,2,),0)</f>
        <v>34285</v>
      </c>
      <c r="G309" s="3">
        <f t="shared" si="22"/>
        <v>34285</v>
      </c>
      <c r="H309" s="3">
        <f>+IFERROR(VLOOKUP(A309,TB!$A$12:$C$403,3,),0)</f>
        <v>0</v>
      </c>
      <c r="J309" s="3">
        <f t="shared" si="23"/>
        <v>0</v>
      </c>
      <c r="K309" s="3">
        <v>34285</v>
      </c>
      <c r="L309" s="3">
        <v>0</v>
      </c>
      <c r="M309" s="3">
        <v>34285</v>
      </c>
      <c r="N309" s="3">
        <v>0</v>
      </c>
      <c r="O309" s="3">
        <v>0</v>
      </c>
      <c r="P309" s="3">
        <v>0</v>
      </c>
    </row>
    <row r="310" spans="1:16" s="3" customFormat="1">
      <c r="A310" s="3" t="s">
        <v>327</v>
      </c>
      <c r="B310" s="4">
        <v>11</v>
      </c>
      <c r="C310" s="3" t="s">
        <v>27</v>
      </c>
      <c r="D310" s="3" t="s">
        <v>28</v>
      </c>
      <c r="E310" s="3">
        <f>+IFERROR(VLOOKUP(A310,TB!$A$12:$C$403,2,),0)</f>
        <v>0</v>
      </c>
      <c r="G310" s="3">
        <f t="shared" si="22"/>
        <v>0</v>
      </c>
      <c r="H310" s="3">
        <f>+IFERROR(VLOOKUP(A310,TB!$A$12:$C$403,3,),0)</f>
        <v>0</v>
      </c>
      <c r="J310" s="3">
        <f t="shared" si="23"/>
        <v>0</v>
      </c>
      <c r="K310" s="3">
        <v>3500000</v>
      </c>
      <c r="L310" s="3">
        <v>0</v>
      </c>
      <c r="M310" s="3">
        <v>3500000</v>
      </c>
      <c r="N310" s="3">
        <v>0</v>
      </c>
      <c r="O310" s="3">
        <v>0</v>
      </c>
      <c r="P310" s="3">
        <v>0</v>
      </c>
    </row>
    <row r="311" spans="1:16" s="3" customFormat="1">
      <c r="A311" s="3" t="s">
        <v>328</v>
      </c>
      <c r="B311" s="4">
        <v>11</v>
      </c>
      <c r="C311" s="3" t="s">
        <v>27</v>
      </c>
      <c r="D311" s="3" t="s">
        <v>28</v>
      </c>
      <c r="E311" s="3">
        <f>+IFERROR(VLOOKUP(A311,TB!$A$12:$C$403,2,),0)</f>
        <v>17190</v>
      </c>
      <c r="G311" s="3">
        <f t="shared" si="22"/>
        <v>17190</v>
      </c>
      <c r="H311" s="3">
        <f>+IFERROR(VLOOKUP(A311,TB!$A$12:$C$403,3,),0)</f>
        <v>0</v>
      </c>
      <c r="J311" s="3">
        <f t="shared" si="23"/>
        <v>0</v>
      </c>
      <c r="K311" s="3">
        <v>17190</v>
      </c>
      <c r="L311" s="3">
        <v>0</v>
      </c>
      <c r="M311" s="3">
        <v>17190</v>
      </c>
      <c r="N311" s="3">
        <v>0</v>
      </c>
      <c r="O311" s="3">
        <v>0</v>
      </c>
      <c r="P311" s="3">
        <v>0</v>
      </c>
    </row>
    <row r="312" spans="1:16" s="3" customFormat="1">
      <c r="A312" s="3" t="s">
        <v>329</v>
      </c>
      <c r="B312" s="4">
        <v>11</v>
      </c>
      <c r="C312" s="3" t="s">
        <v>27</v>
      </c>
      <c r="D312" s="3" t="s">
        <v>28</v>
      </c>
      <c r="E312" s="3">
        <f>+IFERROR(VLOOKUP(A312,TB!$A$12:$C$403,2,),0)</f>
        <v>122153</v>
      </c>
      <c r="G312" s="3">
        <f t="shared" si="22"/>
        <v>122153</v>
      </c>
      <c r="H312" s="3">
        <f>+IFERROR(VLOOKUP(A312,TB!$A$12:$C$403,3,),0)</f>
        <v>0</v>
      </c>
      <c r="J312" s="3">
        <f t="shared" si="23"/>
        <v>0</v>
      </c>
      <c r="K312" s="3">
        <v>122153</v>
      </c>
      <c r="L312" s="3">
        <v>0</v>
      </c>
      <c r="M312" s="3">
        <v>122153</v>
      </c>
      <c r="N312" s="3">
        <v>0</v>
      </c>
      <c r="O312" s="3">
        <v>0</v>
      </c>
      <c r="P312" s="3">
        <v>0</v>
      </c>
    </row>
    <row r="313" spans="1:16" s="3" customFormat="1">
      <c r="A313" s="3" t="s">
        <v>330</v>
      </c>
      <c r="B313" s="4">
        <v>11</v>
      </c>
      <c r="C313" s="3" t="s">
        <v>27</v>
      </c>
      <c r="D313" s="3" t="s">
        <v>28</v>
      </c>
      <c r="E313" s="3">
        <f>+IFERROR(VLOOKUP(A313,TB!$A$12:$C$403,2,),0)</f>
        <v>88213</v>
      </c>
      <c r="G313" s="3">
        <f t="shared" si="22"/>
        <v>88213</v>
      </c>
      <c r="H313" s="3">
        <f>+IFERROR(VLOOKUP(A313,TB!$A$12:$C$403,3,),0)</f>
        <v>0</v>
      </c>
      <c r="J313" s="3">
        <f t="shared" si="23"/>
        <v>0</v>
      </c>
      <c r="K313" s="3">
        <v>88213</v>
      </c>
      <c r="L313" s="3">
        <v>0</v>
      </c>
      <c r="M313" s="3">
        <v>88213</v>
      </c>
      <c r="N313" s="3">
        <v>0</v>
      </c>
      <c r="O313" s="3">
        <v>0</v>
      </c>
      <c r="P313" s="3">
        <v>0</v>
      </c>
    </row>
    <row r="314" spans="1:16" s="3" customFormat="1">
      <c r="A314" s="3" t="s">
        <v>331</v>
      </c>
      <c r="B314" s="4">
        <v>11</v>
      </c>
      <c r="C314" s="3" t="s">
        <v>27</v>
      </c>
      <c r="D314" s="3" t="s">
        <v>28</v>
      </c>
      <c r="E314" s="3">
        <f>+IFERROR(VLOOKUP(A314,TB!$A$12:$C$403,2,),0)</f>
        <v>139678</v>
      </c>
      <c r="G314" s="3">
        <f t="shared" si="22"/>
        <v>139678</v>
      </c>
      <c r="H314" s="3">
        <f>+IFERROR(VLOOKUP(A314,TB!$A$12:$C$403,3,),0)</f>
        <v>0</v>
      </c>
      <c r="J314" s="3">
        <f t="shared" si="23"/>
        <v>0</v>
      </c>
      <c r="K314" s="3">
        <v>139678</v>
      </c>
      <c r="L314" s="3">
        <v>0</v>
      </c>
      <c r="M314" s="3">
        <v>139678</v>
      </c>
      <c r="N314" s="3">
        <v>0</v>
      </c>
      <c r="O314" s="3">
        <v>0</v>
      </c>
      <c r="P314" s="3">
        <v>0</v>
      </c>
    </row>
    <row r="315" spans="1:16" s="3" customFormat="1">
      <c r="A315" s="3" t="s">
        <v>332</v>
      </c>
      <c r="B315" s="4">
        <v>11</v>
      </c>
      <c r="C315" s="3" t="s">
        <v>27</v>
      </c>
      <c r="D315" s="3" t="s">
        <v>28</v>
      </c>
      <c r="E315" s="3">
        <f>+IFERROR(VLOOKUP(A315,TB!$A$12:$C$403,2,),0)</f>
        <v>271788</v>
      </c>
      <c r="G315" s="3">
        <f t="shared" si="22"/>
        <v>271788</v>
      </c>
      <c r="H315" s="3">
        <f>+IFERROR(VLOOKUP(A315,TB!$A$12:$C$403,3,),0)</f>
        <v>0</v>
      </c>
      <c r="J315" s="3">
        <f t="shared" si="23"/>
        <v>0</v>
      </c>
      <c r="K315" s="3">
        <v>271788</v>
      </c>
      <c r="L315" s="3">
        <v>0</v>
      </c>
      <c r="M315" s="3">
        <v>271788</v>
      </c>
      <c r="N315" s="3">
        <v>0</v>
      </c>
      <c r="O315" s="3">
        <v>0</v>
      </c>
      <c r="P315" s="3">
        <v>0</v>
      </c>
    </row>
    <row r="316" spans="1:16" s="3" customFormat="1">
      <c r="A316" s="3" t="s">
        <v>333</v>
      </c>
      <c r="B316" s="4">
        <v>14</v>
      </c>
      <c r="C316" s="3" t="s">
        <v>138</v>
      </c>
      <c r="D316" s="3" t="s">
        <v>139</v>
      </c>
      <c r="E316" s="3">
        <f>+IFERROR(VLOOKUP(A316,TB!$A$12:$C$403,2,),0)</f>
        <v>0</v>
      </c>
      <c r="G316" s="3">
        <f t="shared" ref="G316:G352" si="30">+E316+F316</f>
        <v>0</v>
      </c>
      <c r="H316" s="3">
        <f>+IFERROR(VLOOKUP(A316,TB!$A$12:$C$403,3,),0)</f>
        <v>3113797.7</v>
      </c>
      <c r="J316" s="3">
        <f t="shared" ref="J316:J352" si="31">+H316+I316</f>
        <v>3113797.7</v>
      </c>
      <c r="K316" s="3">
        <v>0</v>
      </c>
      <c r="L316" s="3">
        <v>0</v>
      </c>
      <c r="M316" s="3">
        <v>0</v>
      </c>
      <c r="N316" s="3">
        <v>3329437.7</v>
      </c>
      <c r="O316" s="3">
        <v>0</v>
      </c>
      <c r="P316" s="3">
        <v>3329437.7</v>
      </c>
    </row>
    <row r="317" spans="1:16" s="3" customFormat="1">
      <c r="A317" s="3" t="s">
        <v>334</v>
      </c>
      <c r="B317" s="4">
        <v>4</v>
      </c>
      <c r="C317" s="3" t="s">
        <v>24</v>
      </c>
      <c r="D317" s="3" t="s">
        <v>122</v>
      </c>
      <c r="E317" s="3">
        <f>+IFERROR(VLOOKUP(A317,TB!$A$12:$C$403,2,),0)</f>
        <v>17722075</v>
      </c>
      <c r="G317" s="3">
        <f t="shared" si="30"/>
        <v>17722075</v>
      </c>
      <c r="H317" s="3">
        <f>+IFERROR(VLOOKUP(A317,TB!$A$12:$C$403,3,),0)</f>
        <v>0</v>
      </c>
      <c r="J317" s="3">
        <f t="shared" si="31"/>
        <v>0</v>
      </c>
      <c r="K317" s="3">
        <v>16866441</v>
      </c>
      <c r="L317" s="3">
        <v>0</v>
      </c>
      <c r="M317" s="3">
        <v>16866441</v>
      </c>
      <c r="N317" s="3">
        <v>0</v>
      </c>
      <c r="O317" s="3">
        <v>0</v>
      </c>
      <c r="P317" s="3">
        <v>0</v>
      </c>
    </row>
    <row r="318" spans="1:16" s="3" customFormat="1">
      <c r="A318" s="3" t="s">
        <v>335</v>
      </c>
      <c r="B318" s="4">
        <v>17</v>
      </c>
      <c r="C318" s="3" t="s">
        <v>10</v>
      </c>
      <c r="D318" s="3" t="s">
        <v>10</v>
      </c>
      <c r="E318" s="3">
        <f>+IFERROR(VLOOKUP(A318,TB!$A$12:$C$403,2,),0)</f>
        <v>0</v>
      </c>
      <c r="G318" s="3">
        <f t="shared" si="30"/>
        <v>0</v>
      </c>
      <c r="H318" s="3">
        <f>+IFERROR(VLOOKUP(A318,TB!$A$12:$C$403,3,),0)</f>
        <v>251180</v>
      </c>
      <c r="J318" s="3">
        <f t="shared" si="31"/>
        <v>251180</v>
      </c>
      <c r="K318" s="3">
        <v>0</v>
      </c>
      <c r="L318" s="3">
        <v>0</v>
      </c>
      <c r="M318" s="3">
        <v>0</v>
      </c>
      <c r="N318" s="3">
        <v>1743178</v>
      </c>
      <c r="O318" s="3">
        <v>0</v>
      </c>
      <c r="P318" s="3">
        <v>1743178</v>
      </c>
    </row>
    <row r="319" spans="1:16" s="3" customFormat="1">
      <c r="A319" s="3" t="s">
        <v>336</v>
      </c>
      <c r="B319" s="4">
        <v>23</v>
      </c>
      <c r="C319" s="3" t="s">
        <v>102</v>
      </c>
      <c r="D319" s="3" t="s">
        <v>103</v>
      </c>
      <c r="E319" s="3">
        <f>+IFERROR(VLOOKUP(A319,TB!$A$12:$C$403,2,),0)</f>
        <v>293050</v>
      </c>
      <c r="G319" s="3">
        <f t="shared" si="30"/>
        <v>293050</v>
      </c>
      <c r="H319" s="3">
        <f>+IFERROR(VLOOKUP(A319,TB!$A$12:$C$403,3,),0)</f>
        <v>0</v>
      </c>
      <c r="J319" s="3">
        <f t="shared" si="31"/>
        <v>0</v>
      </c>
      <c r="K319" s="3">
        <v>340090</v>
      </c>
      <c r="L319" s="3">
        <v>0</v>
      </c>
      <c r="M319" s="3">
        <v>340090</v>
      </c>
      <c r="N319" s="3">
        <v>0</v>
      </c>
      <c r="O319" s="3">
        <v>0</v>
      </c>
      <c r="P319" s="3">
        <v>0</v>
      </c>
    </row>
    <row r="320" spans="1:16" s="3" customFormat="1">
      <c r="A320" s="3" t="s">
        <v>337</v>
      </c>
      <c r="B320" s="4">
        <v>27</v>
      </c>
      <c r="C320" s="3" t="s">
        <v>77</v>
      </c>
      <c r="D320" s="3" t="s">
        <v>107</v>
      </c>
      <c r="E320" s="3">
        <f>+IFERROR(VLOOKUP(A320,TB!$A$12:$C$403,2,),0)</f>
        <v>3360110.98</v>
      </c>
      <c r="G320" s="3">
        <f t="shared" si="30"/>
        <v>3360110.98</v>
      </c>
      <c r="H320" s="3">
        <f>+IFERROR(VLOOKUP(A320,TB!$A$12:$C$403,3,),0)</f>
        <v>0</v>
      </c>
      <c r="J320" s="3">
        <f t="shared" si="31"/>
        <v>0</v>
      </c>
      <c r="K320" s="3">
        <v>5418764</v>
      </c>
      <c r="L320" s="3">
        <v>0</v>
      </c>
      <c r="M320" s="3">
        <v>5418764</v>
      </c>
      <c r="N320" s="3">
        <v>0</v>
      </c>
      <c r="O320" s="3">
        <v>0</v>
      </c>
      <c r="P320" s="3">
        <v>0</v>
      </c>
    </row>
    <row r="321" spans="1:16" s="3" customFormat="1">
      <c r="A321" s="3" t="s">
        <v>338</v>
      </c>
      <c r="B321" s="4">
        <v>27</v>
      </c>
      <c r="C321" s="3" t="s">
        <v>77</v>
      </c>
      <c r="D321" s="3" t="s">
        <v>288</v>
      </c>
      <c r="E321" s="3">
        <f>+IFERROR(VLOOKUP(A321,TB!$A$12:$C$403,2,),0)</f>
        <v>300</v>
      </c>
      <c r="G321" s="3">
        <f t="shared" si="30"/>
        <v>300</v>
      </c>
      <c r="H321" s="3">
        <f>+IFERROR(VLOOKUP(A321,TB!$A$12:$C$403,3,),0)</f>
        <v>0</v>
      </c>
      <c r="J321" s="3">
        <f t="shared" si="31"/>
        <v>0</v>
      </c>
      <c r="K321" s="3">
        <v>0</v>
      </c>
      <c r="L321" s="3">
        <v>0</v>
      </c>
      <c r="M321" s="3">
        <v>0</v>
      </c>
      <c r="N321" s="3">
        <v>0</v>
      </c>
      <c r="O321" s="3">
        <v>0</v>
      </c>
      <c r="P321" s="3">
        <v>0</v>
      </c>
    </row>
    <row r="322" spans="1:16" s="3" customFormat="1">
      <c r="A322" s="3" t="s">
        <v>339</v>
      </c>
      <c r="B322" s="4">
        <v>23</v>
      </c>
      <c r="C322" s="3" t="s">
        <v>102</v>
      </c>
      <c r="D322" s="3" t="s">
        <v>103</v>
      </c>
      <c r="E322" s="3">
        <f>+IFERROR(VLOOKUP(A322,TB!$A$12:$C$403,2,),0)</f>
        <v>15197750</v>
      </c>
      <c r="G322" s="3">
        <f t="shared" si="30"/>
        <v>15197750</v>
      </c>
      <c r="H322" s="3">
        <f>+IFERROR(VLOOKUP(A322,TB!$A$12:$C$403,3,),0)</f>
        <v>0</v>
      </c>
      <c r="J322" s="3">
        <f t="shared" si="31"/>
        <v>0</v>
      </c>
      <c r="K322" s="3">
        <v>0</v>
      </c>
      <c r="L322" s="3">
        <v>0</v>
      </c>
      <c r="M322" s="3">
        <v>0</v>
      </c>
      <c r="N322" s="3">
        <v>0</v>
      </c>
      <c r="O322" s="3">
        <v>0</v>
      </c>
      <c r="P322" s="3">
        <v>0</v>
      </c>
    </row>
    <row r="323" spans="1:16" s="3" customFormat="1">
      <c r="A323" s="3" t="s">
        <v>340</v>
      </c>
      <c r="B323" s="4">
        <v>27</v>
      </c>
      <c r="C323" s="3" t="s">
        <v>77</v>
      </c>
      <c r="D323" s="3" t="s">
        <v>341</v>
      </c>
      <c r="E323" s="3">
        <f>+IFERROR(VLOOKUP(A323,TB!$A$12:$C$403,2,),0)</f>
        <v>13738207.939999999</v>
      </c>
      <c r="G323" s="3">
        <f t="shared" si="30"/>
        <v>13738207.939999999</v>
      </c>
      <c r="H323" s="3">
        <f>+IFERROR(VLOOKUP(A323,TB!$A$12:$C$403,3,),0)</f>
        <v>0</v>
      </c>
      <c r="J323" s="3">
        <f t="shared" si="31"/>
        <v>0</v>
      </c>
      <c r="K323" s="3">
        <v>17306494.390000001</v>
      </c>
      <c r="L323" s="3">
        <v>0</v>
      </c>
      <c r="M323" s="3">
        <v>17306494.390000001</v>
      </c>
      <c r="N323" s="3">
        <v>0</v>
      </c>
      <c r="O323" s="3">
        <v>0</v>
      </c>
      <c r="P323" s="3">
        <v>0</v>
      </c>
    </row>
    <row r="324" spans="1:16" s="3" customFormat="1">
      <c r="A324" s="3" t="s">
        <v>342</v>
      </c>
      <c r="B324" s="4">
        <v>17</v>
      </c>
      <c r="C324" s="3" t="s">
        <v>10</v>
      </c>
      <c r="D324" s="3" t="s">
        <v>11</v>
      </c>
      <c r="E324" s="3">
        <f>+IFERROR(VLOOKUP(A324,TB!$A$12:$C$403,2,),0)</f>
        <v>0</v>
      </c>
      <c r="G324" s="3">
        <f t="shared" si="30"/>
        <v>0</v>
      </c>
      <c r="H324" s="3">
        <f>+IFERROR(VLOOKUP(A324,TB!$A$12:$C$403,3,),0)</f>
        <v>39816</v>
      </c>
      <c r="J324" s="3">
        <f t="shared" si="31"/>
        <v>39816</v>
      </c>
      <c r="K324" s="3">
        <v>0</v>
      </c>
      <c r="L324" s="3">
        <v>0</v>
      </c>
      <c r="M324" s="3">
        <v>0</v>
      </c>
      <c r="N324" s="3">
        <v>68453</v>
      </c>
      <c r="O324" s="3">
        <v>0</v>
      </c>
      <c r="P324" s="3">
        <v>68453</v>
      </c>
    </row>
    <row r="325" spans="1:16" s="3" customFormat="1">
      <c r="A325" s="3" t="s">
        <v>343</v>
      </c>
      <c r="B325" s="4">
        <v>6</v>
      </c>
      <c r="C325" s="3" t="s">
        <v>15</v>
      </c>
      <c r="D325" s="3" t="s">
        <v>16</v>
      </c>
      <c r="E325" s="3">
        <f>+IFERROR(VLOOKUP(A325,TB!$A$12:$C$403,2,),0)</f>
        <v>960861.5</v>
      </c>
      <c r="G325" s="3">
        <f t="shared" si="30"/>
        <v>960861.5</v>
      </c>
      <c r="H325" s="3">
        <f>+IFERROR(VLOOKUP(A325,TB!$A$12:$C$403,3,),0)</f>
        <v>0</v>
      </c>
      <c r="J325" s="3">
        <f t="shared" si="31"/>
        <v>0</v>
      </c>
      <c r="K325" s="3">
        <v>1197020</v>
      </c>
      <c r="L325" s="3">
        <v>0</v>
      </c>
      <c r="M325" s="3">
        <v>1197020</v>
      </c>
      <c r="N325" s="3">
        <v>0</v>
      </c>
      <c r="O325" s="3">
        <v>0</v>
      </c>
      <c r="P325" s="3">
        <v>0</v>
      </c>
    </row>
    <row r="326" spans="1:16" s="3" customFormat="1">
      <c r="A326" s="3" t="s">
        <v>344</v>
      </c>
      <c r="B326" s="4">
        <v>6</v>
      </c>
      <c r="C326" s="3" t="s">
        <v>15</v>
      </c>
      <c r="D326" s="3" t="s">
        <v>16</v>
      </c>
      <c r="E326" s="3">
        <f>+IFERROR(VLOOKUP(A326,TB!$A$12:$C$403,2,),0)</f>
        <v>0</v>
      </c>
      <c r="G326" s="3">
        <f t="shared" si="30"/>
        <v>0</v>
      </c>
      <c r="H326" s="3">
        <f>+IFERROR(VLOOKUP(A326,TB!$A$12:$C$403,3,),0)</f>
        <v>0</v>
      </c>
      <c r="J326" s="3">
        <f t="shared" si="31"/>
        <v>0</v>
      </c>
      <c r="K326" s="3">
        <v>14451586</v>
      </c>
      <c r="L326" s="3">
        <v>0</v>
      </c>
      <c r="M326" s="3">
        <v>14451586</v>
      </c>
      <c r="N326" s="3">
        <v>0</v>
      </c>
      <c r="O326" s="3">
        <v>0</v>
      </c>
      <c r="P326" s="3">
        <v>0</v>
      </c>
    </row>
    <row r="327" spans="1:16" s="3" customFormat="1">
      <c r="A327" s="3" t="s">
        <v>345</v>
      </c>
      <c r="B327" s="4">
        <v>17</v>
      </c>
      <c r="C327" s="3" t="s">
        <v>10</v>
      </c>
      <c r="D327" s="3" t="s">
        <v>10</v>
      </c>
      <c r="E327" s="3">
        <f>+IFERROR(VLOOKUP(A327,TB!$A$12:$C$403,2,),0)</f>
        <v>0</v>
      </c>
      <c r="G327" s="3">
        <f t="shared" si="30"/>
        <v>0</v>
      </c>
      <c r="H327" s="3">
        <f>+IFERROR(VLOOKUP(A327,TB!$A$12:$C$403,3,),0)</f>
        <v>1212197</v>
      </c>
      <c r="J327" s="3">
        <f t="shared" si="31"/>
        <v>1212197</v>
      </c>
      <c r="K327" s="3">
        <v>0</v>
      </c>
      <c r="L327" s="3">
        <v>0</v>
      </c>
      <c r="M327" s="3">
        <v>0</v>
      </c>
      <c r="N327" s="3">
        <v>1439364</v>
      </c>
      <c r="O327" s="3">
        <v>0</v>
      </c>
      <c r="P327" s="3">
        <v>1439364</v>
      </c>
    </row>
    <row r="328" spans="1:16" s="3" customFormat="1">
      <c r="A328" s="3" t="s">
        <v>346</v>
      </c>
      <c r="B328" s="4">
        <v>17</v>
      </c>
      <c r="C328" s="3" t="s">
        <v>10</v>
      </c>
      <c r="D328" s="3" t="s">
        <v>10</v>
      </c>
      <c r="E328" s="3">
        <f>+IFERROR(VLOOKUP(A328,TB!$A$12:$C$403,2,),0)</f>
        <v>0</v>
      </c>
      <c r="G328" s="3">
        <f t="shared" si="30"/>
        <v>0</v>
      </c>
      <c r="H328" s="3">
        <f>+IFERROR(VLOOKUP(A328,TB!$A$12:$C$403,3,),0)</f>
        <v>3418</v>
      </c>
      <c r="J328" s="3">
        <f t="shared" si="31"/>
        <v>3418</v>
      </c>
      <c r="K328" s="3">
        <v>0</v>
      </c>
      <c r="L328" s="3">
        <v>0</v>
      </c>
      <c r="M328" s="3">
        <v>0</v>
      </c>
      <c r="N328" s="3">
        <v>0</v>
      </c>
      <c r="O328" s="3">
        <v>0</v>
      </c>
      <c r="P328" s="3">
        <v>0</v>
      </c>
    </row>
    <row r="329" spans="1:16" s="3" customFormat="1">
      <c r="A329" s="3" t="s">
        <v>87</v>
      </c>
      <c r="B329" s="4">
        <v>27</v>
      </c>
      <c r="C329" s="3" t="s">
        <v>51</v>
      </c>
      <c r="D329" s="3" t="s">
        <v>87</v>
      </c>
      <c r="E329" s="3">
        <f>+IFERROR(VLOOKUP(A329,TB!$A$12:$C$403,2,),0)</f>
        <v>248701</v>
      </c>
      <c r="G329" s="3">
        <f t="shared" si="30"/>
        <v>248701</v>
      </c>
      <c r="H329" s="3">
        <f>+IFERROR(VLOOKUP(A329,TB!$A$12:$C$403,3,),0)</f>
        <v>0</v>
      </c>
      <c r="J329" s="3">
        <f t="shared" si="31"/>
        <v>0</v>
      </c>
      <c r="K329" s="3">
        <v>241323</v>
      </c>
      <c r="L329" s="3">
        <v>0</v>
      </c>
      <c r="M329" s="3">
        <v>241323</v>
      </c>
      <c r="N329" s="3">
        <v>0</v>
      </c>
      <c r="O329" s="3">
        <v>0</v>
      </c>
      <c r="P329" s="3">
        <v>0</v>
      </c>
    </row>
    <row r="330" spans="1:16" s="3" customFormat="1">
      <c r="A330" s="3" t="s">
        <v>347</v>
      </c>
      <c r="B330" s="4">
        <v>27</v>
      </c>
      <c r="C330" s="3" t="s">
        <v>77</v>
      </c>
      <c r="D330" s="3" t="s">
        <v>347</v>
      </c>
      <c r="E330" s="3">
        <f>+IFERROR(VLOOKUP(A330,TB!$A$12:$C$403,2,),0)</f>
        <v>3368785</v>
      </c>
      <c r="G330" s="3">
        <f t="shared" si="30"/>
        <v>3368785</v>
      </c>
      <c r="H330" s="3">
        <f>+IFERROR(VLOOKUP(A330,TB!$A$12:$C$403,3,),0)</f>
        <v>0</v>
      </c>
      <c r="J330" s="3">
        <f t="shared" si="31"/>
        <v>0</v>
      </c>
      <c r="K330" s="3">
        <v>4044390</v>
      </c>
      <c r="L330" s="3">
        <v>0</v>
      </c>
      <c r="M330" s="3">
        <v>4044390</v>
      </c>
      <c r="N330" s="3">
        <v>0</v>
      </c>
      <c r="O330" s="3">
        <v>0</v>
      </c>
      <c r="P330" s="3">
        <v>0</v>
      </c>
    </row>
    <row r="331" spans="1:16" s="3" customFormat="1">
      <c r="A331" s="3" t="s">
        <v>348</v>
      </c>
      <c r="B331" s="4">
        <v>19</v>
      </c>
      <c r="C331" s="3" t="s">
        <v>57</v>
      </c>
      <c r="D331" s="3" t="s">
        <v>96</v>
      </c>
      <c r="E331" s="3">
        <f>+IFERROR(VLOOKUP(A331,TB!$A$12:$C$403,2,),0)</f>
        <v>0</v>
      </c>
      <c r="G331" s="3">
        <f t="shared" si="30"/>
        <v>0</v>
      </c>
      <c r="H331" s="3">
        <f>+IFERROR(VLOOKUP(A331,TB!$A$12:$C$403,3,),0)</f>
        <v>40975</v>
      </c>
      <c r="J331" s="3">
        <f t="shared" si="31"/>
        <v>40975</v>
      </c>
      <c r="K331" s="3">
        <v>0</v>
      </c>
      <c r="L331" s="3">
        <v>0</v>
      </c>
      <c r="M331" s="3">
        <v>0</v>
      </c>
      <c r="N331" s="3">
        <v>21303</v>
      </c>
      <c r="O331" s="3">
        <v>0</v>
      </c>
      <c r="P331" s="3">
        <v>21303</v>
      </c>
    </row>
    <row r="332" spans="1:16" s="3" customFormat="1">
      <c r="A332" s="3" t="s">
        <v>349</v>
      </c>
      <c r="B332" s="4">
        <v>19</v>
      </c>
      <c r="C332" s="3" t="s">
        <v>57</v>
      </c>
      <c r="D332" s="3" t="s">
        <v>96</v>
      </c>
      <c r="E332" s="3">
        <f>+IFERROR(VLOOKUP(A332,TB!$A$12:$C$403,2,),0)</f>
        <v>0</v>
      </c>
      <c r="G332" s="3">
        <f t="shared" si="30"/>
        <v>0</v>
      </c>
      <c r="H332" s="3">
        <f>+IFERROR(VLOOKUP(A332,TB!$A$12:$C$403,3,),0)</f>
        <v>84100</v>
      </c>
      <c r="J332" s="3">
        <f t="shared" si="31"/>
        <v>84100</v>
      </c>
      <c r="K332" s="3">
        <v>0</v>
      </c>
      <c r="L332" s="3">
        <v>0</v>
      </c>
      <c r="M332" s="3">
        <v>0</v>
      </c>
      <c r="N332" s="3">
        <v>124753</v>
      </c>
      <c r="O332" s="3">
        <v>0</v>
      </c>
      <c r="P332" s="3">
        <v>124753</v>
      </c>
    </row>
    <row r="333" spans="1:16" s="3" customFormat="1">
      <c r="A333" s="3" t="s">
        <v>350</v>
      </c>
      <c r="B333" s="4">
        <v>19</v>
      </c>
      <c r="C333" s="3" t="s">
        <v>57</v>
      </c>
      <c r="D333" s="3" t="s">
        <v>96</v>
      </c>
      <c r="E333" s="3">
        <f>+IFERROR(VLOOKUP(A333,TB!$A$12:$C$403,2,),0)</f>
        <v>0</v>
      </c>
      <c r="G333" s="3">
        <f t="shared" si="30"/>
        <v>0</v>
      </c>
      <c r="H333" s="3">
        <f>+IFERROR(VLOOKUP(A333,TB!$A$12:$C$403,3,),0)</f>
        <v>40975</v>
      </c>
      <c r="J333" s="3">
        <f t="shared" si="31"/>
        <v>40975</v>
      </c>
      <c r="K333" s="3">
        <v>0</v>
      </c>
      <c r="L333" s="3">
        <v>0</v>
      </c>
      <c r="M333" s="3">
        <v>0</v>
      </c>
      <c r="N333" s="3">
        <v>21303</v>
      </c>
      <c r="O333" s="3">
        <v>0</v>
      </c>
      <c r="P333" s="3">
        <v>21303</v>
      </c>
    </row>
    <row r="334" spans="1:16" s="3" customFormat="1">
      <c r="A334" s="3" t="s">
        <v>2763</v>
      </c>
      <c r="B334" s="4">
        <v>19</v>
      </c>
      <c r="C334" s="3" t="s">
        <v>57</v>
      </c>
      <c r="D334" s="3" t="s">
        <v>96</v>
      </c>
      <c r="E334" s="3">
        <f>+IFERROR(VLOOKUP(A334,TB!$A$12:$C$403,2,),0)</f>
        <v>807</v>
      </c>
      <c r="G334" s="3">
        <f t="shared" si="30"/>
        <v>807</v>
      </c>
      <c r="H334" s="3">
        <f>+IFERROR(VLOOKUP(A334,TB!$A$12:$C$403,3,),0)</f>
        <v>0</v>
      </c>
      <c r="J334" s="3">
        <f t="shared" si="31"/>
        <v>0</v>
      </c>
      <c r="K334" s="3">
        <v>0</v>
      </c>
      <c r="L334" s="3">
        <v>0</v>
      </c>
      <c r="M334" s="3">
        <v>0</v>
      </c>
      <c r="N334" s="3">
        <v>0</v>
      </c>
      <c r="O334" s="3">
        <v>0</v>
      </c>
      <c r="P334" s="3">
        <v>0</v>
      </c>
    </row>
    <row r="335" spans="1:16" s="3" customFormat="1">
      <c r="A335" s="3" t="s">
        <v>351</v>
      </c>
      <c r="B335" s="4">
        <v>19</v>
      </c>
      <c r="C335" s="3" t="s">
        <v>57</v>
      </c>
      <c r="D335" s="3" t="s">
        <v>96</v>
      </c>
      <c r="E335" s="3">
        <f>+IFERROR(VLOOKUP(A335,TB!$A$12:$C$403,2,),0)</f>
        <v>116981</v>
      </c>
      <c r="G335" s="3">
        <f t="shared" si="30"/>
        <v>116981</v>
      </c>
      <c r="H335" s="3">
        <f>+IFERROR(VLOOKUP(A335,TB!$A$12:$C$403,3,),0)</f>
        <v>0</v>
      </c>
      <c r="J335" s="3">
        <f t="shared" si="31"/>
        <v>0</v>
      </c>
      <c r="K335" s="3">
        <v>0</v>
      </c>
      <c r="L335" s="3">
        <v>0</v>
      </c>
      <c r="M335" s="3">
        <v>0</v>
      </c>
      <c r="N335" s="3">
        <v>0</v>
      </c>
      <c r="O335" s="3">
        <v>0</v>
      </c>
      <c r="P335" s="3">
        <v>0</v>
      </c>
    </row>
    <row r="336" spans="1:16" s="3" customFormat="1">
      <c r="A336" s="3" t="s">
        <v>352</v>
      </c>
      <c r="B336" s="4">
        <v>19</v>
      </c>
      <c r="C336" s="3" t="s">
        <v>57</v>
      </c>
      <c r="D336" s="3" t="s">
        <v>96</v>
      </c>
      <c r="E336" s="3">
        <f>+IFERROR(VLOOKUP(A336,TB!$A$12:$C$403,2,),0)</f>
        <v>116981</v>
      </c>
      <c r="G336" s="3">
        <f t="shared" si="30"/>
        <v>116981</v>
      </c>
      <c r="H336" s="3">
        <f>+IFERROR(VLOOKUP(A336,TB!$A$12:$C$403,3,),0)</f>
        <v>0</v>
      </c>
      <c r="J336" s="3">
        <f t="shared" si="31"/>
        <v>0</v>
      </c>
      <c r="K336" s="3">
        <v>0</v>
      </c>
      <c r="L336" s="3">
        <v>0</v>
      </c>
      <c r="M336" s="3">
        <v>0</v>
      </c>
      <c r="N336" s="3">
        <v>0</v>
      </c>
      <c r="O336" s="3">
        <v>0</v>
      </c>
      <c r="P336" s="3">
        <v>0</v>
      </c>
    </row>
    <row r="337" spans="1:16" s="3" customFormat="1">
      <c r="A337" s="3" t="s">
        <v>353</v>
      </c>
      <c r="B337" s="4">
        <v>25</v>
      </c>
      <c r="C337" s="3" t="s">
        <v>155</v>
      </c>
      <c r="D337" s="3" t="s">
        <v>156</v>
      </c>
      <c r="E337" s="3">
        <f>+IFERROR(VLOOKUP(A337,TB!$A$12:$C$403,2,),0)</f>
        <v>3072000</v>
      </c>
      <c r="G337" s="3">
        <f t="shared" si="30"/>
        <v>3072000</v>
      </c>
      <c r="H337" s="3">
        <f>+IFERROR(VLOOKUP(A337,TB!$A$12:$C$403,3,),0)</f>
        <v>0</v>
      </c>
      <c r="J337" s="3">
        <f t="shared" si="31"/>
        <v>0</v>
      </c>
      <c r="K337" s="3">
        <v>4723871</v>
      </c>
      <c r="L337" s="3">
        <v>0</v>
      </c>
      <c r="M337" s="3">
        <v>4723871</v>
      </c>
      <c r="N337" s="3">
        <v>0</v>
      </c>
      <c r="O337" s="3">
        <v>0</v>
      </c>
      <c r="P337" s="3">
        <v>0</v>
      </c>
    </row>
    <row r="338" spans="1:16" s="3" customFormat="1">
      <c r="A338" s="3" t="s">
        <v>354</v>
      </c>
      <c r="B338" s="4">
        <v>27</v>
      </c>
      <c r="C338" s="3" t="s">
        <v>51</v>
      </c>
      <c r="D338" s="3" t="s">
        <v>52</v>
      </c>
      <c r="E338" s="3">
        <f>+IFERROR(VLOOKUP(A338,TB!$A$12:$C$403,2,),0)</f>
        <v>296207.59999999998</v>
      </c>
      <c r="G338" s="3">
        <f t="shared" si="30"/>
        <v>296207.59999999998</v>
      </c>
      <c r="H338" s="3">
        <f>+IFERROR(VLOOKUP(A338,TB!$A$12:$C$403,3,),0)</f>
        <v>0</v>
      </c>
      <c r="J338" s="3">
        <f t="shared" si="31"/>
        <v>0</v>
      </c>
      <c r="K338" s="3">
        <v>230514</v>
      </c>
      <c r="L338" s="3">
        <v>0</v>
      </c>
      <c r="M338" s="3">
        <v>230514</v>
      </c>
      <c r="N338" s="3">
        <v>0</v>
      </c>
      <c r="O338" s="3">
        <v>0</v>
      </c>
      <c r="P338" s="3">
        <v>0</v>
      </c>
    </row>
    <row r="339" spans="1:16" s="3" customFormat="1">
      <c r="A339" s="3" t="s">
        <v>355</v>
      </c>
      <c r="B339" s="4">
        <v>27</v>
      </c>
      <c r="C339" s="3" t="s">
        <v>77</v>
      </c>
      <c r="D339" s="3" t="s">
        <v>356</v>
      </c>
      <c r="E339" s="3">
        <f>+IFERROR(VLOOKUP(A339,TB!$A$12:$C$403,2,),0)</f>
        <v>93430.13</v>
      </c>
      <c r="G339" s="3">
        <f t="shared" si="30"/>
        <v>93430.13</v>
      </c>
      <c r="H339" s="3">
        <f>+IFERROR(VLOOKUP(A339,TB!$A$12:$C$403,3,),0)</f>
        <v>0</v>
      </c>
      <c r="J339" s="3">
        <f t="shared" si="31"/>
        <v>0</v>
      </c>
      <c r="K339" s="3">
        <v>49000</v>
      </c>
      <c r="L339" s="3">
        <v>0</v>
      </c>
      <c r="M339" s="3">
        <v>49000</v>
      </c>
      <c r="N339" s="3">
        <v>0</v>
      </c>
      <c r="O339" s="3">
        <v>0</v>
      </c>
      <c r="P339" s="3">
        <v>0</v>
      </c>
    </row>
    <row r="340" spans="1:16" s="3" customFormat="1">
      <c r="A340" s="3" t="s">
        <v>357</v>
      </c>
      <c r="B340" s="4">
        <v>27</v>
      </c>
      <c r="C340" s="3" t="s">
        <v>51</v>
      </c>
      <c r="D340" s="3" t="s">
        <v>290</v>
      </c>
      <c r="E340" s="3">
        <f>+IFERROR(VLOOKUP(A340,TB!$A$12:$C$403,2,),0)</f>
        <v>268584</v>
      </c>
      <c r="G340" s="3">
        <f t="shared" si="30"/>
        <v>268584</v>
      </c>
      <c r="H340" s="3">
        <f>+IFERROR(VLOOKUP(A340,TB!$A$12:$C$403,3,),0)</f>
        <v>0</v>
      </c>
      <c r="J340" s="3">
        <f t="shared" si="31"/>
        <v>0</v>
      </c>
      <c r="K340" s="3">
        <v>501594.49</v>
      </c>
      <c r="L340" s="3">
        <v>0</v>
      </c>
      <c r="M340" s="3">
        <v>501594.49</v>
      </c>
      <c r="N340" s="3">
        <v>0</v>
      </c>
      <c r="O340" s="3">
        <v>0</v>
      </c>
      <c r="P340" s="3">
        <v>0</v>
      </c>
    </row>
    <row r="341" spans="1:16" s="3" customFormat="1">
      <c r="A341" s="3" t="s">
        <v>358</v>
      </c>
      <c r="B341" s="4">
        <v>12</v>
      </c>
      <c r="C341" s="3" t="s">
        <v>85</v>
      </c>
      <c r="D341" s="3" t="s">
        <v>86</v>
      </c>
      <c r="E341" s="3">
        <f>+IFERROR(VLOOKUP(A341,TB!$A$12:$C$403,2,),0)</f>
        <v>0</v>
      </c>
      <c r="G341" s="3">
        <f t="shared" si="30"/>
        <v>0</v>
      </c>
      <c r="H341" s="3">
        <f>+IFERROR(VLOOKUP(A341,TB!$A$12:$C$403,3,),0)</f>
        <v>50905004</v>
      </c>
      <c r="J341" s="3">
        <f t="shared" si="31"/>
        <v>50905004</v>
      </c>
      <c r="K341" s="3">
        <v>0</v>
      </c>
      <c r="L341" s="3">
        <v>0</v>
      </c>
      <c r="M341" s="3">
        <v>0</v>
      </c>
      <c r="N341" s="3">
        <v>50905004</v>
      </c>
      <c r="O341" s="3">
        <v>0</v>
      </c>
      <c r="P341" s="3">
        <v>50905004</v>
      </c>
    </row>
    <row r="342" spans="1:16" s="3" customFormat="1">
      <c r="A342" s="3" t="s">
        <v>359</v>
      </c>
      <c r="B342" s="4">
        <v>27</v>
      </c>
      <c r="C342" s="3" t="s">
        <v>51</v>
      </c>
      <c r="D342" s="3" t="s">
        <v>87</v>
      </c>
      <c r="E342" s="3">
        <f>+IFERROR(VLOOKUP(A342,TB!$A$12:$C$403,2,),0)</f>
        <v>7900</v>
      </c>
      <c r="G342" s="3">
        <f t="shared" si="30"/>
        <v>7900</v>
      </c>
      <c r="H342" s="3">
        <f>+IFERROR(VLOOKUP(A342,TB!$A$12:$C$403,3,),0)</f>
        <v>0</v>
      </c>
      <c r="J342" s="3">
        <f t="shared" si="31"/>
        <v>0</v>
      </c>
      <c r="K342" s="3">
        <v>10950</v>
      </c>
      <c r="L342" s="3">
        <v>0</v>
      </c>
      <c r="M342" s="3">
        <v>10950</v>
      </c>
      <c r="N342" s="3">
        <v>0</v>
      </c>
      <c r="O342" s="3">
        <v>0</v>
      </c>
      <c r="P342" s="3">
        <v>0</v>
      </c>
    </row>
    <row r="343" spans="1:16" s="3" customFormat="1">
      <c r="A343" s="3" t="s">
        <v>360</v>
      </c>
      <c r="B343" s="4">
        <v>17</v>
      </c>
      <c r="C343" s="3" t="s">
        <v>10</v>
      </c>
      <c r="D343" s="3" t="s">
        <v>10</v>
      </c>
      <c r="E343" s="3">
        <f>+IFERROR(VLOOKUP(A343,TB!$A$12:$C$403,2,),0)</f>
        <v>0</v>
      </c>
      <c r="G343" s="3">
        <f t="shared" si="30"/>
        <v>0</v>
      </c>
      <c r="H343" s="3">
        <f>+IFERROR(VLOOKUP(A343,TB!$A$12:$C$403,3,),0)</f>
        <v>3597964</v>
      </c>
      <c r="J343" s="3">
        <f t="shared" si="31"/>
        <v>3597964</v>
      </c>
      <c r="K343" s="3">
        <v>0</v>
      </c>
      <c r="L343" s="3">
        <v>0</v>
      </c>
      <c r="M343" s="3">
        <v>0</v>
      </c>
      <c r="N343" s="3">
        <v>2717096</v>
      </c>
      <c r="O343" s="3">
        <v>0</v>
      </c>
      <c r="P343" s="3">
        <v>2717096</v>
      </c>
    </row>
    <row r="344" spans="1:16" s="3" customFormat="1">
      <c r="A344" s="3" t="s">
        <v>361</v>
      </c>
      <c r="B344" s="4">
        <v>27</v>
      </c>
      <c r="C344" s="3" t="s">
        <v>51</v>
      </c>
      <c r="D344" s="3" t="s">
        <v>52</v>
      </c>
      <c r="E344" s="3">
        <f>+IFERROR(VLOOKUP(A344,TB!$A$12:$C$403,2,),0)</f>
        <v>0</v>
      </c>
      <c r="G344" s="3">
        <f t="shared" si="30"/>
        <v>0</v>
      </c>
      <c r="H344" s="3">
        <f>+IFERROR(VLOOKUP(A344,TB!$A$12:$C$403,3,),0)</f>
        <v>676.59</v>
      </c>
      <c r="J344" s="3">
        <f t="shared" si="31"/>
        <v>676.59</v>
      </c>
      <c r="K344" s="3">
        <v>0</v>
      </c>
      <c r="L344" s="3">
        <v>0</v>
      </c>
      <c r="M344" s="3">
        <v>0</v>
      </c>
      <c r="N344" s="3">
        <v>902.81</v>
      </c>
      <c r="O344" s="3">
        <v>0</v>
      </c>
      <c r="P344" s="3">
        <v>902.81</v>
      </c>
    </row>
    <row r="345" spans="1:16" s="3" customFormat="1">
      <c r="A345" s="3" t="s">
        <v>362</v>
      </c>
      <c r="B345" s="4">
        <v>7</v>
      </c>
      <c r="C345" s="3" t="s">
        <v>94</v>
      </c>
      <c r="D345" s="3" t="s">
        <v>363</v>
      </c>
      <c r="E345" s="3">
        <f>+IFERROR(VLOOKUP(A345,TB!$A$12:$C$403,2,),0)</f>
        <v>9459.64</v>
      </c>
      <c r="G345" s="3">
        <f t="shared" si="30"/>
        <v>9459.64</v>
      </c>
      <c r="H345" s="3">
        <f>+IFERROR(VLOOKUP(A345,TB!$A$12:$C$403,3,),0)</f>
        <v>0</v>
      </c>
      <c r="J345" s="3">
        <f t="shared" si="31"/>
        <v>0</v>
      </c>
      <c r="K345" s="3">
        <v>10757.64</v>
      </c>
      <c r="L345" s="3">
        <v>0</v>
      </c>
      <c r="M345" s="3">
        <v>10757.64</v>
      </c>
      <c r="N345" s="3">
        <v>0</v>
      </c>
      <c r="O345" s="3">
        <v>0</v>
      </c>
      <c r="P345" s="3">
        <v>0</v>
      </c>
    </row>
    <row r="346" spans="1:16" s="3" customFormat="1">
      <c r="A346" s="3" t="s">
        <v>365</v>
      </c>
      <c r="B346" s="4">
        <v>9</v>
      </c>
      <c r="C346" s="3" t="s">
        <v>37</v>
      </c>
      <c r="D346" s="3" t="s">
        <v>38</v>
      </c>
      <c r="E346" s="3">
        <f>+IFERROR(VLOOKUP(A346,TB!$A$12:$C$403,2,),0)</f>
        <v>0</v>
      </c>
      <c r="G346" s="3">
        <f t="shared" si="30"/>
        <v>0</v>
      </c>
      <c r="H346" s="3">
        <f>+IFERROR(VLOOKUP(A346,TB!$A$12:$C$403,3,),0)</f>
        <v>0</v>
      </c>
      <c r="J346" s="3">
        <f t="shared" si="31"/>
        <v>0</v>
      </c>
      <c r="K346" s="3">
        <v>2000</v>
      </c>
      <c r="L346" s="3">
        <v>0</v>
      </c>
      <c r="M346" s="3">
        <v>2000</v>
      </c>
      <c r="N346" s="3">
        <v>0</v>
      </c>
      <c r="O346" s="3">
        <v>0</v>
      </c>
      <c r="P346" s="3">
        <v>0</v>
      </c>
    </row>
    <row r="347" spans="1:16" s="3" customFormat="1">
      <c r="A347" s="3" t="s">
        <v>366</v>
      </c>
      <c r="B347" s="4">
        <v>6</v>
      </c>
      <c r="C347" s="3" t="s">
        <v>15</v>
      </c>
      <c r="D347" s="3" t="s">
        <v>16</v>
      </c>
      <c r="E347" s="3">
        <f>+IFERROR(VLOOKUP(A347,TB!$A$12:$C$403,2,),0)</f>
        <v>515492</v>
      </c>
      <c r="G347" s="3">
        <f t="shared" si="30"/>
        <v>515492</v>
      </c>
      <c r="H347" s="3">
        <f>+IFERROR(VLOOKUP(A347,TB!$A$12:$C$403,3,),0)</f>
        <v>0</v>
      </c>
      <c r="J347" s="3">
        <f t="shared" si="31"/>
        <v>0</v>
      </c>
      <c r="K347" s="3">
        <v>3429284</v>
      </c>
      <c r="L347" s="3">
        <v>0</v>
      </c>
      <c r="M347" s="3">
        <v>3429284</v>
      </c>
      <c r="N347" s="3">
        <v>0</v>
      </c>
      <c r="O347" s="3">
        <v>0</v>
      </c>
      <c r="P347" s="3">
        <v>0</v>
      </c>
    </row>
    <row r="348" spans="1:16" s="3" customFormat="1">
      <c r="A348" s="3" t="s">
        <v>367</v>
      </c>
      <c r="B348" s="4">
        <v>17</v>
      </c>
      <c r="C348" s="3" t="s">
        <v>10</v>
      </c>
      <c r="D348" s="3" t="s">
        <v>10</v>
      </c>
      <c r="E348" s="3">
        <f>+IFERROR(VLOOKUP(A348,TB!$A$12:$C$403,2,),0)</f>
        <v>0</v>
      </c>
      <c r="G348" s="3">
        <f t="shared" si="30"/>
        <v>0</v>
      </c>
      <c r="H348" s="3">
        <f>+IFERROR(VLOOKUP(A348,TB!$A$12:$C$403,3,),0)</f>
        <v>1561707</v>
      </c>
      <c r="J348" s="3">
        <f t="shared" si="31"/>
        <v>1561707</v>
      </c>
      <c r="K348" s="3">
        <v>0</v>
      </c>
      <c r="L348" s="3">
        <v>0</v>
      </c>
      <c r="M348" s="3">
        <v>0</v>
      </c>
      <c r="N348" s="3">
        <v>122753</v>
      </c>
      <c r="O348" s="3">
        <v>0</v>
      </c>
      <c r="P348" s="3">
        <v>122753</v>
      </c>
    </row>
    <row r="349" spans="1:16" s="3" customFormat="1">
      <c r="A349" s="3" t="s">
        <v>368</v>
      </c>
      <c r="B349" s="4">
        <v>18</v>
      </c>
      <c r="C349" s="3" t="s">
        <v>235</v>
      </c>
      <c r="D349" s="3" t="s">
        <v>369</v>
      </c>
      <c r="E349" s="3">
        <f>+IFERROR(VLOOKUP(A349,TB!$A$12:$C$403,2,),0)</f>
        <v>0</v>
      </c>
      <c r="G349" s="3">
        <f t="shared" si="30"/>
        <v>0</v>
      </c>
      <c r="H349" s="3">
        <f>+IFERROR(VLOOKUP(A349,TB!$A$12:$C$403,3,),0)</f>
        <v>1087441</v>
      </c>
      <c r="J349" s="3">
        <f t="shared" si="31"/>
        <v>1087441</v>
      </c>
      <c r="K349" s="3">
        <v>0</v>
      </c>
      <c r="L349" s="3">
        <v>0</v>
      </c>
      <c r="M349" s="3">
        <v>0</v>
      </c>
      <c r="N349" s="3">
        <v>1152229</v>
      </c>
      <c r="O349" s="3">
        <v>0</v>
      </c>
      <c r="P349" s="3">
        <v>1152229</v>
      </c>
    </row>
    <row r="350" spans="1:16" s="3" customFormat="1">
      <c r="A350" s="3" t="s">
        <v>370</v>
      </c>
      <c r="B350" s="4">
        <v>25</v>
      </c>
      <c r="C350" s="3" t="s">
        <v>155</v>
      </c>
      <c r="D350" s="3" t="s">
        <v>156</v>
      </c>
      <c r="E350" s="3">
        <f>+IFERROR(VLOOKUP(A350,TB!$A$12:$C$403,2,),0)</f>
        <v>237000</v>
      </c>
      <c r="G350" s="3">
        <f t="shared" si="30"/>
        <v>237000</v>
      </c>
      <c r="H350" s="3">
        <f>+IFERROR(VLOOKUP(A350,TB!$A$12:$C$403,3,),0)</f>
        <v>0</v>
      </c>
      <c r="J350" s="3">
        <f t="shared" si="31"/>
        <v>0</v>
      </c>
      <c r="K350" s="3">
        <v>222000</v>
      </c>
      <c r="L350" s="3">
        <v>0</v>
      </c>
      <c r="M350" s="3">
        <v>222000</v>
      </c>
      <c r="N350" s="3">
        <v>0</v>
      </c>
      <c r="O350" s="3">
        <v>0</v>
      </c>
      <c r="P350" s="3">
        <v>0</v>
      </c>
    </row>
    <row r="351" spans="1:16" s="3" customFormat="1">
      <c r="A351" s="3" t="s">
        <v>371</v>
      </c>
      <c r="B351" s="4">
        <v>25</v>
      </c>
      <c r="C351" s="3" t="s">
        <v>155</v>
      </c>
      <c r="D351" s="3" t="s">
        <v>156</v>
      </c>
      <c r="E351" s="3">
        <f>+IFERROR(VLOOKUP(A351,TB!$A$12:$C$403,2,),0)</f>
        <v>2732000</v>
      </c>
      <c r="G351" s="3">
        <f t="shared" si="30"/>
        <v>2732000</v>
      </c>
      <c r="H351" s="3">
        <f>+IFERROR(VLOOKUP(A351,TB!$A$12:$C$403,3,),0)</f>
        <v>0</v>
      </c>
      <c r="J351" s="3">
        <f t="shared" si="31"/>
        <v>0</v>
      </c>
      <c r="K351" s="3">
        <v>2764949</v>
      </c>
      <c r="L351" s="3">
        <v>0</v>
      </c>
      <c r="M351" s="3">
        <v>2764949</v>
      </c>
      <c r="N351" s="3">
        <v>0</v>
      </c>
      <c r="O351" s="3">
        <v>0</v>
      </c>
      <c r="P351" s="3">
        <v>0</v>
      </c>
    </row>
    <row r="352" spans="1:16" s="3" customFormat="1">
      <c r="A352" s="3" t="s">
        <v>372</v>
      </c>
      <c r="B352" s="4">
        <v>25</v>
      </c>
      <c r="C352" s="3" t="s">
        <v>155</v>
      </c>
      <c r="D352" s="3" t="s">
        <v>156</v>
      </c>
      <c r="E352" s="3">
        <f>+IFERROR(VLOOKUP(A352,TB!$A$12:$C$403,2,),0)</f>
        <v>2857400</v>
      </c>
      <c r="G352" s="3">
        <f t="shared" si="30"/>
        <v>2857400</v>
      </c>
      <c r="H352" s="3">
        <f>+IFERROR(VLOOKUP(A352,TB!$A$12:$C$403,3,),0)</f>
        <v>0</v>
      </c>
      <c r="J352" s="3">
        <f t="shared" si="31"/>
        <v>0</v>
      </c>
      <c r="K352" s="3">
        <v>2678400</v>
      </c>
      <c r="L352" s="3">
        <v>0</v>
      </c>
      <c r="M352" s="3">
        <v>2678400</v>
      </c>
      <c r="N352" s="3">
        <v>0</v>
      </c>
      <c r="O352" s="3">
        <v>0</v>
      </c>
      <c r="P352" s="3">
        <v>0</v>
      </c>
    </row>
    <row r="353" spans="1:16" s="3" customFormat="1">
      <c r="A353" s="3" t="s">
        <v>373</v>
      </c>
      <c r="B353" s="4">
        <v>25</v>
      </c>
      <c r="C353" s="3" t="s">
        <v>155</v>
      </c>
      <c r="D353" s="3" t="s">
        <v>156</v>
      </c>
      <c r="E353" s="3">
        <f>+IFERROR(VLOOKUP(A353,TB!$A$12:$C$403,2,),0)</f>
        <v>7499801</v>
      </c>
      <c r="G353" s="3">
        <f t="shared" ref="G353:G382" si="32">+E353+F353</f>
        <v>7499801</v>
      </c>
      <c r="H353" s="3">
        <f>+IFERROR(VLOOKUP(A353,TB!$A$12:$C$403,3,),0)</f>
        <v>0</v>
      </c>
      <c r="J353" s="3">
        <f t="shared" ref="J353:J382" si="33">+H353+I353</f>
        <v>0</v>
      </c>
      <c r="K353" s="3">
        <v>10002813</v>
      </c>
      <c r="L353" s="3">
        <v>0</v>
      </c>
      <c r="M353" s="3">
        <v>10002813</v>
      </c>
      <c r="N353" s="3">
        <v>0</v>
      </c>
      <c r="O353" s="3">
        <v>0</v>
      </c>
      <c r="P353" s="3">
        <v>0</v>
      </c>
    </row>
    <row r="354" spans="1:16" s="3" customFormat="1">
      <c r="A354" s="3" t="s">
        <v>374</v>
      </c>
      <c r="B354" s="4">
        <v>21</v>
      </c>
      <c r="C354" s="3" t="s">
        <v>158</v>
      </c>
      <c r="D354" s="3" t="s">
        <v>159</v>
      </c>
      <c r="E354" s="3">
        <f>+IFERROR(VLOOKUP(A354,TB!$A$12:$C$403,2,),0)</f>
        <v>0</v>
      </c>
      <c r="G354" s="3">
        <f t="shared" si="32"/>
        <v>0</v>
      </c>
      <c r="H354" s="3">
        <f>+IFERROR(VLOOKUP(A354,TB!$A$12:$C$403,3,),0)</f>
        <v>603566</v>
      </c>
      <c r="J354" s="3">
        <f t="shared" si="33"/>
        <v>603566</v>
      </c>
      <c r="K354" s="3">
        <v>0</v>
      </c>
      <c r="L354" s="3">
        <v>0</v>
      </c>
      <c r="M354" s="3">
        <v>0</v>
      </c>
      <c r="N354" s="3">
        <v>1177784</v>
      </c>
      <c r="O354" s="3">
        <v>0</v>
      </c>
      <c r="P354" s="3">
        <v>1177784</v>
      </c>
    </row>
    <row r="355" spans="1:16" s="3" customFormat="1">
      <c r="A355" s="3" t="s">
        <v>375</v>
      </c>
      <c r="B355" s="4">
        <v>21</v>
      </c>
      <c r="C355" s="3" t="s">
        <v>158</v>
      </c>
      <c r="D355" s="3" t="s">
        <v>159</v>
      </c>
      <c r="E355" s="3">
        <f>+IFERROR(VLOOKUP(A355,TB!$A$12:$C$403,2,),0)</f>
        <v>0</v>
      </c>
      <c r="G355" s="3">
        <f t="shared" si="32"/>
        <v>0</v>
      </c>
      <c r="H355" s="3">
        <f>+IFERROR(VLOOKUP(A355,TB!$A$12:$C$403,3,),0)</f>
        <v>930626444.45000005</v>
      </c>
      <c r="J355" s="3">
        <f t="shared" si="33"/>
        <v>930626444.45000005</v>
      </c>
      <c r="K355" s="3">
        <v>0</v>
      </c>
      <c r="L355" s="3">
        <v>0</v>
      </c>
      <c r="M355" s="3">
        <v>0</v>
      </c>
      <c r="N355" s="3">
        <v>996978842.14999998</v>
      </c>
      <c r="O355" s="3">
        <v>0</v>
      </c>
      <c r="P355" s="3">
        <v>996978842.14999998</v>
      </c>
    </row>
    <row r="356" spans="1:16" s="3" customFormat="1">
      <c r="A356" s="3" t="s">
        <v>376</v>
      </c>
      <c r="B356" s="4">
        <v>13</v>
      </c>
      <c r="C356" s="3" t="s">
        <v>47</v>
      </c>
      <c r="D356" s="3" t="s">
        <v>48</v>
      </c>
      <c r="E356" s="3">
        <f>+IFERROR(VLOOKUP(A356,TB!$A$12:$C$403,2,),0)</f>
        <v>0</v>
      </c>
      <c r="G356" s="3">
        <f t="shared" si="32"/>
        <v>0</v>
      </c>
      <c r="H356" s="3">
        <f>+IFERROR(VLOOKUP(A356,TB!$A$12:$C$403,3,),0)</f>
        <v>1308589</v>
      </c>
      <c r="J356" s="3">
        <f t="shared" si="33"/>
        <v>1308589</v>
      </c>
      <c r="K356" s="3">
        <v>0</v>
      </c>
      <c r="L356" s="3">
        <v>0</v>
      </c>
      <c r="M356" s="3">
        <v>0</v>
      </c>
      <c r="N356" s="3">
        <v>1218462</v>
      </c>
      <c r="O356" s="3">
        <v>0</v>
      </c>
      <c r="P356" s="3">
        <v>1218462</v>
      </c>
    </row>
    <row r="357" spans="1:16" s="3" customFormat="1">
      <c r="A357" s="3" t="s">
        <v>377</v>
      </c>
      <c r="B357" s="4">
        <v>13</v>
      </c>
      <c r="C357" s="3" t="s">
        <v>47</v>
      </c>
      <c r="D357" s="3" t="s">
        <v>48</v>
      </c>
      <c r="E357" s="3">
        <f>+IFERROR(VLOOKUP(A357,TB!$A$12:$C$403,2,),0)</f>
        <v>0</v>
      </c>
      <c r="G357" s="3">
        <f t="shared" si="32"/>
        <v>0</v>
      </c>
      <c r="H357" s="3">
        <f>+IFERROR(VLOOKUP(A357,TB!$A$12:$C$403,3,),0)</f>
        <v>2035521</v>
      </c>
      <c r="J357" s="3">
        <f t="shared" si="33"/>
        <v>2035521</v>
      </c>
      <c r="K357" s="3">
        <v>0</v>
      </c>
      <c r="L357" s="3">
        <v>0</v>
      </c>
      <c r="M357" s="3">
        <v>0</v>
      </c>
      <c r="N357" s="3">
        <v>1895328</v>
      </c>
      <c r="O357" s="3">
        <v>0</v>
      </c>
      <c r="P357" s="3">
        <v>1895328</v>
      </c>
    </row>
    <row r="358" spans="1:16" s="3" customFormat="1">
      <c r="A358" s="3" t="s">
        <v>378</v>
      </c>
      <c r="B358" s="4"/>
      <c r="C358" s="3" t="s">
        <v>85</v>
      </c>
      <c r="D358" s="3" t="s">
        <v>379</v>
      </c>
      <c r="E358" s="3">
        <f>+IFERROR(VLOOKUP(A358,TB!$A$12:$C$403,2,),0)</f>
        <v>0</v>
      </c>
      <c r="G358" s="3">
        <f t="shared" si="32"/>
        <v>0</v>
      </c>
      <c r="H358" s="3">
        <f>+IFERROR(VLOOKUP(A358,TB!$A$12:$C$403,3,),0)</f>
        <v>8664946</v>
      </c>
      <c r="J358" s="3">
        <f t="shared" si="33"/>
        <v>8664946</v>
      </c>
      <c r="K358" s="3">
        <v>0</v>
      </c>
      <c r="L358" s="3">
        <v>0</v>
      </c>
      <c r="M358" s="3">
        <v>0</v>
      </c>
      <c r="N358" s="3">
        <v>8664946</v>
      </c>
      <c r="O358" s="3">
        <v>0</v>
      </c>
      <c r="P358" s="3">
        <v>8664946</v>
      </c>
    </row>
    <row r="359" spans="1:16" s="3" customFormat="1">
      <c r="A359" s="3" t="s">
        <v>380</v>
      </c>
      <c r="B359" s="4">
        <v>27</v>
      </c>
      <c r="C359" s="3" t="s">
        <v>77</v>
      </c>
      <c r="D359" s="3" t="s">
        <v>380</v>
      </c>
      <c r="E359" s="3">
        <f>+IFERROR(VLOOKUP(A359,TB!$A$12:$C$403,2,),0)</f>
        <v>905691</v>
      </c>
      <c r="G359" s="3">
        <f t="shared" si="32"/>
        <v>905691</v>
      </c>
      <c r="H359" s="3">
        <f>+IFERROR(VLOOKUP(A359,TB!$A$12:$C$403,3,),0)</f>
        <v>0</v>
      </c>
      <c r="J359" s="3">
        <f t="shared" si="33"/>
        <v>0</v>
      </c>
      <c r="K359" s="3">
        <v>783594</v>
      </c>
      <c r="L359" s="3">
        <v>0</v>
      </c>
      <c r="M359" s="3">
        <v>783594</v>
      </c>
      <c r="N359" s="3">
        <v>0</v>
      </c>
      <c r="O359" s="3">
        <v>0</v>
      </c>
      <c r="P359" s="3">
        <v>0</v>
      </c>
    </row>
    <row r="360" spans="1:16" s="3" customFormat="1">
      <c r="A360" s="3" t="s">
        <v>381</v>
      </c>
      <c r="B360" s="4">
        <v>21</v>
      </c>
      <c r="C360" s="3" t="s">
        <v>158</v>
      </c>
      <c r="D360" s="3" t="s">
        <v>159</v>
      </c>
      <c r="E360" s="3">
        <f>+IFERROR(VLOOKUP(A360,TB!$A$12:$C$403,2,),0)</f>
        <v>0</v>
      </c>
      <c r="G360" s="3">
        <f t="shared" si="32"/>
        <v>0</v>
      </c>
      <c r="H360" s="3">
        <f>+IFERROR(VLOOKUP(A360,TB!$A$12:$C$403,3,),0)</f>
        <v>20016750.5</v>
      </c>
      <c r="J360" s="3">
        <f t="shared" si="33"/>
        <v>20016750.5</v>
      </c>
      <c r="K360" s="3">
        <v>0</v>
      </c>
      <c r="L360" s="3">
        <v>0</v>
      </c>
      <c r="M360" s="3">
        <v>0</v>
      </c>
      <c r="N360" s="3">
        <v>22958399.75</v>
      </c>
      <c r="O360" s="3">
        <v>0</v>
      </c>
      <c r="P360" s="3">
        <v>22958399.75</v>
      </c>
    </row>
    <row r="361" spans="1:16" s="3" customFormat="1">
      <c r="A361" s="3" t="s">
        <v>382</v>
      </c>
      <c r="B361" s="4">
        <v>6</v>
      </c>
      <c r="C361" s="3" t="s">
        <v>15</v>
      </c>
      <c r="D361" s="3" t="s">
        <v>16</v>
      </c>
      <c r="E361" s="3">
        <f>+IFERROR(VLOOKUP(A361,TB!$A$12:$C$403,2,),0)</f>
        <v>0</v>
      </c>
      <c r="G361" s="3">
        <f t="shared" si="32"/>
        <v>0</v>
      </c>
      <c r="H361" s="3">
        <f>+IFERROR(VLOOKUP(A361,TB!$A$12:$C$403,3,),0)</f>
        <v>0</v>
      </c>
      <c r="J361" s="3">
        <f t="shared" si="33"/>
        <v>0</v>
      </c>
      <c r="K361" s="3">
        <v>1020644</v>
      </c>
      <c r="L361" s="3">
        <v>0</v>
      </c>
      <c r="M361" s="3">
        <v>1020644</v>
      </c>
      <c r="N361" s="3">
        <v>0</v>
      </c>
      <c r="O361" s="3">
        <v>0</v>
      </c>
      <c r="P361" s="3">
        <v>0</v>
      </c>
    </row>
    <row r="362" spans="1:16" s="3" customFormat="1">
      <c r="A362" s="3" t="s">
        <v>383</v>
      </c>
      <c r="B362" s="4">
        <v>6</v>
      </c>
      <c r="C362" s="3" t="s">
        <v>15</v>
      </c>
      <c r="D362" s="3" t="s">
        <v>16</v>
      </c>
      <c r="E362" s="3">
        <f>+IFERROR(VLOOKUP(A362,TB!$A$12:$C$403,2,),0)</f>
        <v>0</v>
      </c>
      <c r="G362" s="3">
        <f t="shared" si="32"/>
        <v>0</v>
      </c>
      <c r="H362" s="3">
        <f>+IFERROR(VLOOKUP(A362,TB!$A$12:$C$403,3,),0)</f>
        <v>0</v>
      </c>
      <c r="J362" s="3">
        <f t="shared" si="33"/>
        <v>0</v>
      </c>
      <c r="K362" s="3">
        <v>5205371</v>
      </c>
      <c r="L362" s="3">
        <v>0</v>
      </c>
      <c r="M362" s="3">
        <v>5205371</v>
      </c>
      <c r="N362" s="3">
        <v>0</v>
      </c>
      <c r="O362" s="3">
        <v>0</v>
      </c>
      <c r="P362" s="3">
        <v>0</v>
      </c>
    </row>
    <row r="363" spans="1:16" s="3" customFormat="1">
      <c r="A363" s="3" t="s">
        <v>384</v>
      </c>
      <c r="B363" s="4">
        <v>6</v>
      </c>
      <c r="C363" s="3" t="s">
        <v>15</v>
      </c>
      <c r="D363" s="3" t="s">
        <v>16</v>
      </c>
      <c r="E363" s="3">
        <f>+IFERROR(VLOOKUP(A363,TB!$A$12:$C$403,2,),0)</f>
        <v>886344</v>
      </c>
      <c r="G363" s="3">
        <f t="shared" si="32"/>
        <v>886344</v>
      </c>
      <c r="H363" s="3">
        <f>+IFERROR(VLOOKUP(A363,TB!$A$12:$C$403,3,),0)</f>
        <v>0</v>
      </c>
      <c r="J363" s="3">
        <f t="shared" si="33"/>
        <v>0</v>
      </c>
      <c r="K363" s="3">
        <v>557086</v>
      </c>
      <c r="L363" s="3">
        <v>0</v>
      </c>
      <c r="M363" s="3">
        <v>557086</v>
      </c>
      <c r="N363" s="3">
        <v>0</v>
      </c>
      <c r="O363" s="3">
        <v>0</v>
      </c>
      <c r="P363" s="3">
        <v>0</v>
      </c>
    </row>
    <row r="364" spans="1:16" s="3" customFormat="1">
      <c r="A364" s="3" t="s">
        <v>385</v>
      </c>
      <c r="B364" s="4">
        <v>17</v>
      </c>
      <c r="C364" s="3" t="s">
        <v>10</v>
      </c>
      <c r="D364" s="3" t="s">
        <v>10</v>
      </c>
      <c r="E364" s="3">
        <f>+IFERROR(VLOOKUP(A364,TB!$A$12:$C$403,2,),0)</f>
        <v>0</v>
      </c>
      <c r="G364" s="3">
        <f t="shared" si="32"/>
        <v>0</v>
      </c>
      <c r="H364" s="3">
        <f>+IFERROR(VLOOKUP(A364,TB!$A$12:$C$403,3,),0)</f>
        <v>1668161.7</v>
      </c>
      <c r="J364" s="3">
        <f t="shared" si="33"/>
        <v>1668161.7</v>
      </c>
      <c r="K364" s="3">
        <v>0</v>
      </c>
      <c r="L364" s="3">
        <v>0</v>
      </c>
      <c r="M364" s="3">
        <v>0</v>
      </c>
      <c r="N364" s="3">
        <v>5633372.7000000002</v>
      </c>
      <c r="O364" s="3">
        <v>0</v>
      </c>
      <c r="P364" s="3">
        <v>5633372.7000000002</v>
      </c>
    </row>
    <row r="365" spans="1:16" s="3" customFormat="1">
      <c r="A365" s="3" t="s">
        <v>386</v>
      </c>
      <c r="B365" s="4">
        <v>17</v>
      </c>
      <c r="C365" s="3" t="s">
        <v>10</v>
      </c>
      <c r="D365" s="3" t="s">
        <v>10</v>
      </c>
      <c r="E365" s="3">
        <f>+IFERROR(VLOOKUP(A365,TB!$A$12:$C$403,2,),0)</f>
        <v>0</v>
      </c>
      <c r="G365" s="3">
        <f t="shared" si="32"/>
        <v>0</v>
      </c>
      <c r="H365" s="3">
        <f>+IFERROR(VLOOKUP(A365,TB!$A$12:$C$403,3,),0)</f>
        <v>182880</v>
      </c>
      <c r="J365" s="3">
        <f t="shared" si="33"/>
        <v>182880</v>
      </c>
      <c r="K365" s="3">
        <v>0</v>
      </c>
      <c r="L365" s="3">
        <v>0</v>
      </c>
      <c r="M365" s="3">
        <v>0</v>
      </c>
      <c r="N365" s="3">
        <v>198137</v>
      </c>
      <c r="O365" s="3">
        <v>0</v>
      </c>
      <c r="P365" s="3">
        <v>198137</v>
      </c>
    </row>
    <row r="366" spans="1:16" s="3" customFormat="1">
      <c r="A366" s="3" t="s">
        <v>387</v>
      </c>
      <c r="B366" s="4">
        <v>27</v>
      </c>
      <c r="C366" s="3" t="s">
        <v>51</v>
      </c>
      <c r="D366" s="3" t="s">
        <v>52</v>
      </c>
      <c r="E366" s="3">
        <f>+IFERROR(VLOOKUP(A366,TB!$A$12:$C$403,2,),0)</f>
        <v>0</v>
      </c>
      <c r="G366" s="3">
        <f t="shared" si="32"/>
        <v>0</v>
      </c>
      <c r="H366" s="3">
        <f>+IFERROR(VLOOKUP(A366,TB!$A$12:$C$403,3,),0)</f>
        <v>0</v>
      </c>
      <c r="J366" s="3">
        <f t="shared" si="33"/>
        <v>0</v>
      </c>
      <c r="K366" s="3">
        <v>10980</v>
      </c>
      <c r="L366" s="3">
        <v>0</v>
      </c>
      <c r="M366" s="3">
        <v>10980</v>
      </c>
      <c r="N366" s="3">
        <v>0</v>
      </c>
      <c r="O366" s="3">
        <v>0</v>
      </c>
      <c r="P366" s="3">
        <v>0</v>
      </c>
    </row>
    <row r="367" spans="1:16" s="3" customFormat="1">
      <c r="A367" s="3" t="s">
        <v>388</v>
      </c>
      <c r="B367" s="4">
        <v>21</v>
      </c>
      <c r="C367" s="3" t="s">
        <v>158</v>
      </c>
      <c r="D367" s="3" t="s">
        <v>159</v>
      </c>
      <c r="E367" s="3">
        <f>+IFERROR(VLOOKUP(A367,TB!$A$12:$C$403,2,),0)</f>
        <v>0</v>
      </c>
      <c r="G367" s="3">
        <f t="shared" si="32"/>
        <v>0</v>
      </c>
      <c r="H367" s="3">
        <f>+IFERROR(VLOOKUP(A367,TB!$A$12:$C$403,3,),0)</f>
        <v>0</v>
      </c>
      <c r="J367" s="3">
        <f t="shared" si="33"/>
        <v>0</v>
      </c>
      <c r="K367" s="3">
        <v>3229</v>
      </c>
      <c r="L367" s="3">
        <v>0</v>
      </c>
      <c r="M367" s="3">
        <v>3229</v>
      </c>
      <c r="N367" s="3">
        <v>0</v>
      </c>
      <c r="O367" s="3">
        <v>0</v>
      </c>
      <c r="P367" s="3">
        <v>0</v>
      </c>
    </row>
    <row r="368" spans="1:16" s="3" customFormat="1">
      <c r="A368" s="3" t="s">
        <v>389</v>
      </c>
      <c r="B368" s="4">
        <v>13</v>
      </c>
      <c r="C368" s="3" t="s">
        <v>47</v>
      </c>
      <c r="D368" s="3" t="s">
        <v>48</v>
      </c>
      <c r="E368" s="3">
        <f>+IFERROR(VLOOKUP(A368,TB!$A$12:$C$403,2,),0)</f>
        <v>0</v>
      </c>
      <c r="G368" s="3">
        <f t="shared" si="32"/>
        <v>0</v>
      </c>
      <c r="H368" s="3">
        <f>+IFERROR(VLOOKUP(A368,TB!$A$12:$C$403,3,),0)</f>
        <v>2253400</v>
      </c>
      <c r="J368" s="3">
        <f t="shared" si="33"/>
        <v>2253400</v>
      </c>
      <c r="K368" s="3">
        <v>0</v>
      </c>
      <c r="L368" s="3">
        <v>0</v>
      </c>
      <c r="M368" s="3">
        <v>0</v>
      </c>
      <c r="N368" s="3">
        <v>3072538</v>
      </c>
      <c r="O368" s="3">
        <v>0</v>
      </c>
      <c r="P368" s="3">
        <v>3072538</v>
      </c>
    </row>
    <row r="369" spans="1:16" s="3" customFormat="1">
      <c r="A369" s="3" t="s">
        <v>390</v>
      </c>
      <c r="B369" s="4">
        <v>19</v>
      </c>
      <c r="C369" s="3" t="s">
        <v>57</v>
      </c>
      <c r="D369" s="3" t="s">
        <v>114</v>
      </c>
      <c r="E369" s="3">
        <f>+IFERROR(VLOOKUP(A369,TB!$A$12:$C$403,2,),0)</f>
        <v>0</v>
      </c>
      <c r="G369" s="3">
        <f t="shared" si="32"/>
        <v>0</v>
      </c>
      <c r="H369" s="3">
        <f>+IFERROR(VLOOKUP(A369,TB!$A$12:$C$403,3,),0)</f>
        <v>11575</v>
      </c>
      <c r="J369" s="3">
        <f t="shared" si="33"/>
        <v>11575</v>
      </c>
      <c r="K369" s="3">
        <v>0</v>
      </c>
      <c r="L369" s="3">
        <v>0</v>
      </c>
      <c r="M369" s="3">
        <v>0</v>
      </c>
      <c r="N369" s="3">
        <v>11175</v>
      </c>
      <c r="O369" s="3">
        <v>0</v>
      </c>
      <c r="P369" s="3">
        <v>11175</v>
      </c>
    </row>
    <row r="370" spans="1:16" s="3" customFormat="1">
      <c r="A370" s="3" t="s">
        <v>391</v>
      </c>
      <c r="B370" s="4">
        <v>16</v>
      </c>
      <c r="C370" s="3" t="s">
        <v>392</v>
      </c>
      <c r="D370" s="3" t="s">
        <v>393</v>
      </c>
      <c r="E370" s="3">
        <f>+IFERROR(VLOOKUP(A370,TB!$A$12:$C$403,2,),0)</f>
        <v>0</v>
      </c>
      <c r="G370" s="3">
        <f t="shared" si="32"/>
        <v>0</v>
      </c>
      <c r="H370" s="3">
        <f>+IFERROR(VLOOKUP(A370,TB!$A$12:$C$403,3,),0)</f>
        <v>78274677.280000001</v>
      </c>
      <c r="J370" s="3">
        <f t="shared" si="33"/>
        <v>78274677.280000001</v>
      </c>
      <c r="K370" s="3">
        <v>0</v>
      </c>
      <c r="L370" s="3">
        <v>0</v>
      </c>
      <c r="M370" s="3">
        <v>0</v>
      </c>
      <c r="N370" s="3">
        <v>56842407.57</v>
      </c>
      <c r="O370" s="3">
        <v>0</v>
      </c>
      <c r="P370" s="3">
        <v>56842407.57</v>
      </c>
    </row>
    <row r="371" spans="1:16" s="3" customFormat="1">
      <c r="A371" s="3" t="s">
        <v>394</v>
      </c>
      <c r="B371" s="4">
        <v>27</v>
      </c>
      <c r="C371" s="3" t="s">
        <v>77</v>
      </c>
      <c r="D371" s="3" t="s">
        <v>107</v>
      </c>
      <c r="E371" s="3">
        <f>+IFERROR(VLOOKUP(A371,TB!$A$12:$C$403,2,),0)</f>
        <v>2485856</v>
      </c>
      <c r="G371" s="3">
        <f t="shared" si="32"/>
        <v>2485856</v>
      </c>
      <c r="H371" s="3">
        <f>+IFERROR(VLOOKUP(A371,TB!$A$12:$C$403,3,),0)</f>
        <v>0</v>
      </c>
      <c r="J371" s="3">
        <f t="shared" si="33"/>
        <v>0</v>
      </c>
      <c r="K371" s="3">
        <v>3832008</v>
      </c>
      <c r="L371" s="3">
        <v>0</v>
      </c>
      <c r="M371" s="3">
        <v>3832008</v>
      </c>
      <c r="N371" s="3">
        <v>0</v>
      </c>
      <c r="O371" s="3">
        <v>0</v>
      </c>
      <c r="P371" s="3">
        <v>0</v>
      </c>
    </row>
    <row r="372" spans="1:16" s="3" customFormat="1">
      <c r="A372" s="3" t="s">
        <v>395</v>
      </c>
      <c r="B372" s="4">
        <v>27</v>
      </c>
      <c r="C372" s="3" t="s">
        <v>51</v>
      </c>
      <c r="D372" s="3" t="s">
        <v>396</v>
      </c>
      <c r="E372" s="3">
        <f>+IFERROR(VLOOKUP(A372,TB!$A$12:$C$403,2,),0)</f>
        <v>269184.78000000003</v>
      </c>
      <c r="G372" s="3">
        <f t="shared" si="32"/>
        <v>269184.78000000003</v>
      </c>
      <c r="H372" s="3">
        <f>+IFERROR(VLOOKUP(A372,TB!$A$12:$C$403,3,),0)</f>
        <v>0</v>
      </c>
      <c r="J372" s="3">
        <f t="shared" si="33"/>
        <v>0</v>
      </c>
      <c r="K372" s="3">
        <v>183140.58</v>
      </c>
      <c r="L372" s="3">
        <v>0</v>
      </c>
      <c r="M372" s="3">
        <v>183140.58</v>
      </c>
      <c r="N372" s="3">
        <v>0</v>
      </c>
      <c r="O372" s="3">
        <v>0</v>
      </c>
      <c r="P372" s="3">
        <v>0</v>
      </c>
    </row>
    <row r="373" spans="1:16" s="3" customFormat="1">
      <c r="A373" s="3" t="s">
        <v>397</v>
      </c>
      <c r="B373" s="4">
        <v>27</v>
      </c>
      <c r="C373" s="3" t="s">
        <v>51</v>
      </c>
      <c r="D373" s="3" t="s">
        <v>398</v>
      </c>
      <c r="E373" s="3">
        <f>+IFERROR(VLOOKUP(A373,TB!$A$12:$C$403,2,),0)</f>
        <v>275000</v>
      </c>
      <c r="G373" s="3">
        <f t="shared" si="32"/>
        <v>275000</v>
      </c>
      <c r="H373" s="3">
        <f>+IFERROR(VLOOKUP(A373,TB!$A$12:$C$403,3,),0)</f>
        <v>0</v>
      </c>
      <c r="J373" s="3">
        <f t="shared" si="33"/>
        <v>0</v>
      </c>
      <c r="K373" s="3">
        <v>275000</v>
      </c>
      <c r="L373" s="3">
        <v>0</v>
      </c>
      <c r="M373" s="3">
        <v>275000</v>
      </c>
      <c r="N373" s="3">
        <v>0</v>
      </c>
      <c r="O373" s="3">
        <v>0</v>
      </c>
      <c r="P373" s="3">
        <v>0</v>
      </c>
    </row>
    <row r="374" spans="1:16" s="3" customFormat="1">
      <c r="A374" s="3" t="s">
        <v>399</v>
      </c>
      <c r="B374" s="4">
        <v>26</v>
      </c>
      <c r="C374" s="3" t="s">
        <v>71</v>
      </c>
      <c r="D374" s="3" t="s">
        <v>72</v>
      </c>
      <c r="E374" s="3">
        <f>+IFERROR(VLOOKUP(A374,TB!$A$12:$C$403,2,),0)</f>
        <v>22500</v>
      </c>
      <c r="G374" s="3">
        <f t="shared" si="32"/>
        <v>22500</v>
      </c>
      <c r="H374" s="3">
        <f>+IFERROR(VLOOKUP(A374,TB!$A$12:$C$403,3,),0)</f>
        <v>0</v>
      </c>
      <c r="J374" s="3">
        <f t="shared" si="33"/>
        <v>0</v>
      </c>
      <c r="K374" s="3">
        <v>15000</v>
      </c>
      <c r="L374" s="3">
        <v>0</v>
      </c>
      <c r="M374" s="3">
        <v>15000</v>
      </c>
      <c r="N374" s="3">
        <v>0</v>
      </c>
      <c r="O374" s="3">
        <v>0</v>
      </c>
      <c r="P374" s="3">
        <v>0</v>
      </c>
    </row>
    <row r="375" spans="1:16" s="3" customFormat="1">
      <c r="A375" s="3" t="s">
        <v>400</v>
      </c>
      <c r="B375" s="4">
        <v>9</v>
      </c>
      <c r="C375" s="3" t="s">
        <v>37</v>
      </c>
      <c r="D375" s="3" t="s">
        <v>38</v>
      </c>
      <c r="E375" s="3">
        <f>+IFERROR(VLOOKUP(A375,TB!$A$12:$C$403,2,),0)</f>
        <v>27000</v>
      </c>
      <c r="G375" s="3">
        <f t="shared" si="32"/>
        <v>27000</v>
      </c>
      <c r="H375" s="3">
        <f>+IFERROR(VLOOKUP(A375,TB!$A$12:$C$403,3,),0)</f>
        <v>0</v>
      </c>
      <c r="J375" s="3">
        <f t="shared" si="33"/>
        <v>0</v>
      </c>
      <c r="K375" s="3">
        <v>11000</v>
      </c>
      <c r="L375" s="3">
        <v>0</v>
      </c>
      <c r="M375" s="3">
        <v>11000</v>
      </c>
      <c r="N375" s="3">
        <v>0</v>
      </c>
      <c r="O375" s="3">
        <v>0</v>
      </c>
      <c r="P375" s="3">
        <v>0</v>
      </c>
    </row>
    <row r="376" spans="1:16" s="3" customFormat="1">
      <c r="A376" s="3" t="s">
        <v>401</v>
      </c>
      <c r="B376" s="4">
        <v>17</v>
      </c>
      <c r="C376" s="3" t="s">
        <v>10</v>
      </c>
      <c r="D376" s="3" t="s">
        <v>10</v>
      </c>
      <c r="E376" s="3">
        <f>+IFERROR(VLOOKUP(A376,TB!$A$12:$C$403,2,),0)</f>
        <v>0</v>
      </c>
      <c r="G376" s="3">
        <f t="shared" si="32"/>
        <v>0</v>
      </c>
      <c r="H376" s="3">
        <f>+IFERROR(VLOOKUP(A376,TB!$A$12:$C$403,3,),0)</f>
        <v>0</v>
      </c>
      <c r="J376" s="3">
        <f t="shared" si="33"/>
        <v>0</v>
      </c>
      <c r="K376" s="3">
        <v>0</v>
      </c>
      <c r="L376" s="3">
        <v>0</v>
      </c>
      <c r="M376" s="3">
        <v>0</v>
      </c>
      <c r="N376" s="3">
        <v>261379</v>
      </c>
      <c r="O376" s="3">
        <v>0</v>
      </c>
      <c r="P376" s="3">
        <v>261379</v>
      </c>
    </row>
    <row r="377" spans="1:16" s="3" customFormat="1">
      <c r="A377" s="3" t="s">
        <v>402</v>
      </c>
      <c r="B377" s="4">
        <v>27</v>
      </c>
      <c r="C377" s="3" t="s">
        <v>51</v>
      </c>
      <c r="D377" s="3" t="s">
        <v>52</v>
      </c>
      <c r="E377" s="3">
        <f>+IFERROR(VLOOKUP(A377,TB!$A$12:$C$403,2,),0)</f>
        <v>0</v>
      </c>
      <c r="G377" s="3">
        <f t="shared" si="32"/>
        <v>0</v>
      </c>
      <c r="H377" s="3">
        <f>+IFERROR(VLOOKUP(A377,TB!$A$12:$C$403,3,),0)</f>
        <v>5.61</v>
      </c>
      <c r="J377" s="3">
        <f t="shared" si="33"/>
        <v>5.61</v>
      </c>
      <c r="K377" s="3">
        <v>0</v>
      </c>
      <c r="L377" s="3">
        <v>0</v>
      </c>
      <c r="M377" s="3">
        <v>0</v>
      </c>
      <c r="N377" s="3">
        <v>28255.9</v>
      </c>
      <c r="O377" s="3">
        <v>0</v>
      </c>
      <c r="P377" s="3">
        <v>28255.9</v>
      </c>
    </row>
    <row r="378" spans="1:16" s="3" customFormat="1">
      <c r="A378" s="3" t="s">
        <v>403</v>
      </c>
      <c r="B378" s="4">
        <v>9</v>
      </c>
      <c r="C378" s="3" t="s">
        <v>37</v>
      </c>
      <c r="D378" s="3" t="s">
        <v>38</v>
      </c>
      <c r="E378" s="3">
        <f>+IFERROR(VLOOKUP(A378,TB!$A$12:$C$403,2,),0)</f>
        <v>0</v>
      </c>
      <c r="G378" s="3">
        <f t="shared" si="32"/>
        <v>0</v>
      </c>
      <c r="H378" s="3">
        <f>+IFERROR(VLOOKUP(A378,TB!$A$12:$C$403,3,),0)</f>
        <v>0</v>
      </c>
      <c r="J378" s="3">
        <f t="shared" si="33"/>
        <v>0</v>
      </c>
      <c r="K378" s="3">
        <v>14000</v>
      </c>
      <c r="L378" s="3">
        <v>0</v>
      </c>
      <c r="M378" s="3">
        <v>14000</v>
      </c>
      <c r="N378" s="3">
        <v>0</v>
      </c>
      <c r="O378" s="3">
        <v>0</v>
      </c>
      <c r="P378" s="3">
        <v>0</v>
      </c>
    </row>
    <row r="379" spans="1:16" s="3" customFormat="1">
      <c r="A379" s="3" t="s">
        <v>404</v>
      </c>
      <c r="B379" s="4">
        <v>9</v>
      </c>
      <c r="C379" s="3" t="s">
        <v>37</v>
      </c>
      <c r="D379" s="3" t="s">
        <v>38</v>
      </c>
      <c r="E379" s="3">
        <f>+IFERROR(VLOOKUP(A379,TB!$A$12:$C$403,2,),0)</f>
        <v>67000</v>
      </c>
      <c r="G379" s="3">
        <f t="shared" si="32"/>
        <v>67000</v>
      </c>
      <c r="H379" s="3">
        <f>+IFERROR(VLOOKUP(A379,TB!$A$12:$C$403,3,),0)</f>
        <v>0</v>
      </c>
      <c r="J379" s="3">
        <f t="shared" si="33"/>
        <v>0</v>
      </c>
      <c r="K379" s="3">
        <v>0</v>
      </c>
      <c r="L379" s="3">
        <v>0</v>
      </c>
      <c r="M379" s="3">
        <v>0</v>
      </c>
      <c r="N379" s="3">
        <v>0</v>
      </c>
      <c r="O379" s="3">
        <v>0</v>
      </c>
      <c r="P379" s="3">
        <v>0</v>
      </c>
    </row>
    <row r="380" spans="1:16" s="3" customFormat="1">
      <c r="A380" s="3" t="s">
        <v>405</v>
      </c>
      <c r="B380" s="4">
        <v>17</v>
      </c>
      <c r="C380" s="3" t="s">
        <v>10</v>
      </c>
      <c r="D380" s="3" t="s">
        <v>10</v>
      </c>
      <c r="E380" s="3">
        <f>+IFERROR(VLOOKUP(A380,TB!$A$12:$C$403,2,),0)</f>
        <v>0</v>
      </c>
      <c r="G380" s="3">
        <f t="shared" si="32"/>
        <v>0</v>
      </c>
      <c r="H380" s="3">
        <f>+IFERROR(VLOOKUP(A380,TB!$A$12:$C$403,3,),0)</f>
        <v>830720</v>
      </c>
      <c r="J380" s="3">
        <f t="shared" si="33"/>
        <v>830720</v>
      </c>
      <c r="K380" s="3">
        <v>0</v>
      </c>
      <c r="L380" s="3">
        <v>0</v>
      </c>
      <c r="M380" s="3">
        <v>0</v>
      </c>
      <c r="N380" s="3">
        <v>361080</v>
      </c>
      <c r="O380" s="3">
        <v>0</v>
      </c>
      <c r="P380" s="3">
        <v>361080</v>
      </c>
    </row>
    <row r="381" spans="1:16" s="3" customFormat="1">
      <c r="A381" s="3" t="s">
        <v>406</v>
      </c>
      <c r="B381" s="4">
        <v>19</v>
      </c>
      <c r="C381" s="3" t="s">
        <v>57</v>
      </c>
      <c r="D381" s="3" t="s">
        <v>114</v>
      </c>
      <c r="E381" s="3">
        <f>+IFERROR(VLOOKUP(A381,TB!$A$12:$C$403,2,),0)</f>
        <v>0</v>
      </c>
      <c r="G381" s="3">
        <f t="shared" si="32"/>
        <v>0</v>
      </c>
      <c r="H381" s="3">
        <f>+IFERROR(VLOOKUP(A381,TB!$A$12:$C$403,3,),0)</f>
        <v>141960</v>
      </c>
      <c r="J381" s="3">
        <f t="shared" si="33"/>
        <v>141960</v>
      </c>
      <c r="K381" s="3">
        <v>0</v>
      </c>
      <c r="L381" s="3">
        <v>0</v>
      </c>
      <c r="M381" s="3">
        <v>0</v>
      </c>
      <c r="N381" s="3">
        <v>86477</v>
      </c>
      <c r="O381" s="3">
        <v>0</v>
      </c>
      <c r="P381" s="3">
        <v>86477</v>
      </c>
    </row>
    <row r="382" spans="1:16" s="3" customFormat="1">
      <c r="A382" s="3" t="s">
        <v>407</v>
      </c>
      <c r="B382" s="4">
        <v>19</v>
      </c>
      <c r="C382" s="3" t="s">
        <v>57</v>
      </c>
      <c r="D382" s="3" t="s">
        <v>114</v>
      </c>
      <c r="E382" s="3">
        <f>+IFERROR(VLOOKUP(A382,TB!$A$12:$C$403,2,),0)</f>
        <v>0</v>
      </c>
      <c r="G382" s="3">
        <f t="shared" si="32"/>
        <v>0</v>
      </c>
      <c r="H382" s="3">
        <f>+IFERROR(VLOOKUP(A382,TB!$A$12:$C$403,3,),0)</f>
        <v>9325.82</v>
      </c>
      <c r="J382" s="3">
        <f t="shared" si="33"/>
        <v>9325.82</v>
      </c>
      <c r="K382" s="3">
        <v>0</v>
      </c>
      <c r="L382" s="3">
        <v>0</v>
      </c>
      <c r="M382" s="3">
        <v>0</v>
      </c>
      <c r="N382" s="3">
        <v>12998.22</v>
      </c>
      <c r="O382" s="3">
        <v>0</v>
      </c>
      <c r="P382" s="3">
        <v>12998.22</v>
      </c>
    </row>
    <row r="383" spans="1:16" s="3" customFormat="1">
      <c r="A383" s="3" t="s">
        <v>408</v>
      </c>
      <c r="B383" s="4">
        <v>19</v>
      </c>
      <c r="C383" s="3" t="s">
        <v>57</v>
      </c>
      <c r="D383" s="3" t="s">
        <v>114</v>
      </c>
      <c r="E383" s="3">
        <f>+IFERROR(VLOOKUP(A383,TB!$A$12:$C$403,2,),0)</f>
        <v>0</v>
      </c>
      <c r="G383" s="3">
        <f t="shared" ref="G383:G436" si="34">+E383+F383</f>
        <v>0</v>
      </c>
      <c r="H383" s="3">
        <f>+IFERROR(VLOOKUP(A383,TB!$A$12:$C$403,3,),0)</f>
        <v>5250</v>
      </c>
      <c r="J383" s="3">
        <f t="shared" ref="J383:J436" si="35">+H383+I383</f>
        <v>5250</v>
      </c>
      <c r="K383" s="3">
        <v>0</v>
      </c>
      <c r="L383" s="3">
        <v>0</v>
      </c>
      <c r="M383" s="3">
        <v>0</v>
      </c>
      <c r="N383" s="3">
        <v>5000</v>
      </c>
      <c r="O383" s="3">
        <v>0</v>
      </c>
      <c r="P383" s="3">
        <v>5000</v>
      </c>
    </row>
    <row r="384" spans="1:16" s="3" customFormat="1">
      <c r="A384" s="3" t="s">
        <v>409</v>
      </c>
      <c r="B384" s="4">
        <v>19</v>
      </c>
      <c r="C384" s="3" t="s">
        <v>57</v>
      </c>
      <c r="D384" s="3" t="s">
        <v>114</v>
      </c>
      <c r="E384" s="3">
        <f>+IFERROR(VLOOKUP(A384,TB!$A$12:$C$403,2,),0)</f>
        <v>0</v>
      </c>
      <c r="G384" s="3">
        <f t="shared" si="34"/>
        <v>0</v>
      </c>
      <c r="H384" s="3">
        <f>+IFERROR(VLOOKUP(A384,TB!$A$12:$C$403,3,),0)</f>
        <v>2555</v>
      </c>
      <c r="J384" s="3">
        <f t="shared" si="35"/>
        <v>2555</v>
      </c>
      <c r="K384" s="3">
        <v>0</v>
      </c>
      <c r="L384" s="3">
        <v>0</v>
      </c>
      <c r="M384" s="3">
        <v>0</v>
      </c>
      <c r="N384" s="3">
        <v>11758</v>
      </c>
      <c r="O384" s="3">
        <v>0</v>
      </c>
      <c r="P384" s="3">
        <v>11758</v>
      </c>
    </row>
    <row r="385" spans="1:16" s="3" customFormat="1">
      <c r="A385" s="3" t="s">
        <v>410</v>
      </c>
      <c r="B385" s="4">
        <v>19</v>
      </c>
      <c r="C385" s="3" t="s">
        <v>57</v>
      </c>
      <c r="D385" s="3" t="s">
        <v>114</v>
      </c>
      <c r="E385" s="3">
        <f>+IFERROR(VLOOKUP(A385,TB!$A$12:$C$403,2,),0)</f>
        <v>0</v>
      </c>
      <c r="G385" s="3">
        <f t="shared" si="34"/>
        <v>0</v>
      </c>
      <c r="H385" s="3">
        <f>+IFERROR(VLOOKUP(A385,TB!$A$12:$C$403,3,),0)</f>
        <v>61052.04</v>
      </c>
      <c r="J385" s="3">
        <f t="shared" si="35"/>
        <v>61052.04</v>
      </c>
      <c r="K385" s="3">
        <v>0</v>
      </c>
      <c r="L385" s="3">
        <v>0</v>
      </c>
      <c r="M385" s="3">
        <v>0</v>
      </c>
      <c r="N385" s="3">
        <v>44158.04</v>
      </c>
      <c r="O385" s="3">
        <v>0</v>
      </c>
      <c r="P385" s="3">
        <v>44158.04</v>
      </c>
    </row>
    <row r="386" spans="1:16" s="3" customFormat="1">
      <c r="A386" s="3" t="s">
        <v>411</v>
      </c>
      <c r="B386" s="4">
        <v>19</v>
      </c>
      <c r="C386" s="3" t="s">
        <v>57</v>
      </c>
      <c r="D386" s="3" t="s">
        <v>114</v>
      </c>
      <c r="E386" s="3">
        <f>+IFERROR(VLOOKUP(A386,TB!$A$12:$C$403,2,),0)</f>
        <v>0</v>
      </c>
      <c r="G386" s="3">
        <f t="shared" si="34"/>
        <v>0</v>
      </c>
      <c r="H386" s="3">
        <f>+IFERROR(VLOOKUP(A386,TB!$A$12:$C$403,3,),0)</f>
        <v>60934</v>
      </c>
      <c r="J386" s="3">
        <f t="shared" si="35"/>
        <v>60934</v>
      </c>
      <c r="K386" s="3">
        <v>0</v>
      </c>
      <c r="L386" s="3">
        <v>0</v>
      </c>
      <c r="M386" s="3">
        <v>0</v>
      </c>
      <c r="N386" s="3">
        <v>47015</v>
      </c>
      <c r="O386" s="3">
        <v>0</v>
      </c>
      <c r="P386" s="3">
        <v>47015</v>
      </c>
    </row>
    <row r="387" spans="1:16" s="3" customFormat="1">
      <c r="A387" s="3" t="s">
        <v>412</v>
      </c>
      <c r="B387" s="4">
        <v>19</v>
      </c>
      <c r="C387" s="3" t="s">
        <v>57</v>
      </c>
      <c r="D387" s="3" t="s">
        <v>114</v>
      </c>
      <c r="E387" s="3">
        <f>+IFERROR(VLOOKUP(A387,TB!$A$12:$C$403,2,),0)</f>
        <v>0</v>
      </c>
      <c r="G387" s="3">
        <f t="shared" si="34"/>
        <v>0</v>
      </c>
      <c r="H387" s="3">
        <f>+IFERROR(VLOOKUP(A387,TB!$A$12:$C$403,3,),0)</f>
        <v>5000</v>
      </c>
      <c r="J387" s="3">
        <f t="shared" si="35"/>
        <v>5000</v>
      </c>
      <c r="K387" s="3">
        <v>0</v>
      </c>
      <c r="L387" s="3">
        <v>0</v>
      </c>
      <c r="M387" s="3">
        <v>0</v>
      </c>
      <c r="N387" s="3">
        <v>7000</v>
      </c>
      <c r="O387" s="3">
        <v>0</v>
      </c>
      <c r="P387" s="3">
        <v>7000</v>
      </c>
    </row>
    <row r="388" spans="1:16" s="3" customFormat="1">
      <c r="A388" s="3" t="s">
        <v>413</v>
      </c>
      <c r="B388" s="4">
        <v>19</v>
      </c>
      <c r="C388" s="3" t="s">
        <v>57</v>
      </c>
      <c r="D388" s="3" t="s">
        <v>114</v>
      </c>
      <c r="E388" s="3">
        <f>+IFERROR(VLOOKUP(A388,TB!$A$12:$C$403,2,),0)</f>
        <v>0</v>
      </c>
      <c r="G388" s="3">
        <f t="shared" si="34"/>
        <v>0</v>
      </c>
      <c r="H388" s="3">
        <f>+IFERROR(VLOOKUP(A388,TB!$A$12:$C$403,3,),0)</f>
        <v>27071</v>
      </c>
      <c r="J388" s="3">
        <f t="shared" si="35"/>
        <v>27071</v>
      </c>
      <c r="K388" s="3">
        <v>0</v>
      </c>
      <c r="L388" s="3">
        <v>0</v>
      </c>
      <c r="M388" s="3">
        <v>0</v>
      </c>
      <c r="N388" s="3">
        <v>4651</v>
      </c>
      <c r="O388" s="3">
        <v>0</v>
      </c>
      <c r="P388" s="3">
        <v>4651</v>
      </c>
    </row>
    <row r="389" spans="1:16" s="3" customFormat="1">
      <c r="A389" s="3" t="s">
        <v>414</v>
      </c>
      <c r="B389" s="4">
        <v>19</v>
      </c>
      <c r="C389" s="3" t="s">
        <v>57</v>
      </c>
      <c r="D389" s="3" t="s">
        <v>114</v>
      </c>
      <c r="E389" s="3">
        <f>+IFERROR(VLOOKUP(A389,TB!$A$12:$C$403,2,),0)</f>
        <v>0</v>
      </c>
      <c r="G389" s="3">
        <f t="shared" si="34"/>
        <v>0</v>
      </c>
      <c r="H389" s="3">
        <f>+IFERROR(VLOOKUP(A389,TB!$A$12:$C$403,3,),0)</f>
        <v>61380</v>
      </c>
      <c r="J389" s="3">
        <f t="shared" si="35"/>
        <v>61380</v>
      </c>
      <c r="K389" s="3">
        <v>0</v>
      </c>
      <c r="L389" s="3">
        <v>0</v>
      </c>
      <c r="M389" s="3">
        <v>0</v>
      </c>
      <c r="N389" s="3">
        <v>59000</v>
      </c>
      <c r="O389" s="3">
        <v>0</v>
      </c>
      <c r="P389" s="3">
        <v>59000</v>
      </c>
    </row>
    <row r="390" spans="1:16" s="3" customFormat="1">
      <c r="A390" s="3" t="s">
        <v>415</v>
      </c>
      <c r="B390" s="4">
        <v>27</v>
      </c>
      <c r="C390" s="3" t="s">
        <v>51</v>
      </c>
      <c r="D390" s="3" t="s">
        <v>416</v>
      </c>
      <c r="E390" s="3">
        <f>+IFERROR(VLOOKUP(A390,TB!$A$12:$C$403,2,),0)</f>
        <v>67429</v>
      </c>
      <c r="G390" s="3">
        <f t="shared" si="34"/>
        <v>67429</v>
      </c>
      <c r="H390" s="3">
        <f>+IFERROR(VLOOKUP(A390,TB!$A$12:$C$403,3,),0)</f>
        <v>0</v>
      </c>
      <c r="J390" s="3">
        <f t="shared" si="35"/>
        <v>0</v>
      </c>
      <c r="K390" s="3">
        <v>70996</v>
      </c>
      <c r="L390" s="3">
        <v>0</v>
      </c>
      <c r="M390" s="3">
        <v>70996</v>
      </c>
      <c r="N390" s="3">
        <v>0</v>
      </c>
      <c r="O390" s="3">
        <v>0</v>
      </c>
      <c r="P390" s="3">
        <v>0</v>
      </c>
    </row>
    <row r="391" spans="1:16" s="3" customFormat="1">
      <c r="A391" s="3" t="s">
        <v>417</v>
      </c>
      <c r="B391" s="4">
        <v>17</v>
      </c>
      <c r="C391" s="3" t="s">
        <v>10</v>
      </c>
      <c r="D391" s="3" t="s">
        <v>11</v>
      </c>
      <c r="E391" s="3">
        <f>+IFERROR(VLOOKUP(A391,TB!$A$12:$C$403,2,),0)</f>
        <v>0</v>
      </c>
      <c r="G391" s="3">
        <f t="shared" si="34"/>
        <v>0</v>
      </c>
      <c r="H391" s="3">
        <f>+IFERROR(VLOOKUP(A391,TB!$A$12:$C$403,3,),0)</f>
        <v>0</v>
      </c>
      <c r="J391" s="3">
        <f t="shared" si="35"/>
        <v>0</v>
      </c>
      <c r="K391" s="3">
        <v>0</v>
      </c>
      <c r="L391" s="3">
        <v>0</v>
      </c>
      <c r="M391" s="3">
        <v>0</v>
      </c>
      <c r="N391" s="3">
        <v>3708</v>
      </c>
      <c r="O391" s="3">
        <v>0</v>
      </c>
      <c r="P391" s="3">
        <v>3708</v>
      </c>
    </row>
    <row r="392" spans="1:16" s="3" customFormat="1">
      <c r="A392" s="3" t="s">
        <v>418</v>
      </c>
      <c r="B392" s="4">
        <v>27</v>
      </c>
      <c r="C392" s="3" t="s">
        <v>77</v>
      </c>
      <c r="D392" s="3" t="s">
        <v>78</v>
      </c>
      <c r="E392" s="3">
        <f>+IFERROR(VLOOKUP(A392,TB!$A$12:$C$403,2,),0)</f>
        <v>123242</v>
      </c>
      <c r="G392" s="3">
        <f t="shared" si="34"/>
        <v>123242</v>
      </c>
      <c r="H392" s="3">
        <f>+IFERROR(VLOOKUP(A392,TB!$A$12:$C$403,3,),0)</f>
        <v>0</v>
      </c>
      <c r="J392" s="3">
        <f t="shared" si="35"/>
        <v>0</v>
      </c>
      <c r="K392" s="3">
        <v>103100</v>
      </c>
      <c r="L392" s="3">
        <v>0</v>
      </c>
      <c r="M392" s="3">
        <v>103100</v>
      </c>
      <c r="N392" s="3">
        <v>0</v>
      </c>
      <c r="O392" s="3">
        <v>0</v>
      </c>
      <c r="P392" s="3">
        <v>0</v>
      </c>
    </row>
    <row r="393" spans="1:16" s="3" customFormat="1">
      <c r="A393" s="3" t="s">
        <v>419</v>
      </c>
      <c r="B393" s="4">
        <v>21</v>
      </c>
      <c r="C393" s="3" t="s">
        <v>158</v>
      </c>
      <c r="D393" s="3" t="s">
        <v>159</v>
      </c>
      <c r="E393" s="3">
        <f>+IFERROR(VLOOKUP(A393,TB!$A$12:$C$403,2,),0)</f>
        <v>124881.5</v>
      </c>
      <c r="G393" s="3">
        <f t="shared" si="34"/>
        <v>124881.5</v>
      </c>
      <c r="H393" s="3">
        <f>+IFERROR(VLOOKUP(A393,TB!$A$12:$C$403,3,),0)</f>
        <v>0</v>
      </c>
      <c r="J393" s="3">
        <f t="shared" si="35"/>
        <v>0</v>
      </c>
      <c r="K393" s="3">
        <v>199577.3</v>
      </c>
      <c r="L393" s="3">
        <v>0</v>
      </c>
      <c r="M393" s="3">
        <v>199577.3</v>
      </c>
      <c r="N393" s="3">
        <v>0</v>
      </c>
      <c r="O393" s="3">
        <v>0</v>
      </c>
      <c r="P393" s="3">
        <v>0</v>
      </c>
    </row>
    <row r="394" spans="1:16" s="3" customFormat="1">
      <c r="A394" s="3" t="s">
        <v>420</v>
      </c>
      <c r="B394" s="4">
        <v>27</v>
      </c>
      <c r="C394" s="3" t="s">
        <v>51</v>
      </c>
      <c r="D394" s="3" t="s">
        <v>117</v>
      </c>
      <c r="E394" s="3">
        <f>+IFERROR(VLOOKUP(A394,TB!$A$12:$C$403,2,),0)</f>
        <v>447976</v>
      </c>
      <c r="G394" s="3">
        <f t="shared" si="34"/>
        <v>447976</v>
      </c>
      <c r="H394" s="3">
        <f>+IFERROR(VLOOKUP(A394,TB!$A$12:$C$403,3,),0)</f>
        <v>0</v>
      </c>
      <c r="J394" s="3">
        <f t="shared" si="35"/>
        <v>0</v>
      </c>
      <c r="K394" s="3">
        <v>282444</v>
      </c>
      <c r="L394" s="3">
        <v>0</v>
      </c>
      <c r="M394" s="3">
        <v>282444</v>
      </c>
      <c r="N394" s="3">
        <v>0</v>
      </c>
      <c r="O394" s="3">
        <v>0</v>
      </c>
      <c r="P394" s="3">
        <v>0</v>
      </c>
    </row>
    <row r="395" spans="1:16" s="3" customFormat="1">
      <c r="A395" s="3" t="s">
        <v>421</v>
      </c>
      <c r="B395" s="4">
        <v>17</v>
      </c>
      <c r="C395" s="3" t="s">
        <v>10</v>
      </c>
      <c r="D395" s="3" t="s">
        <v>10</v>
      </c>
      <c r="E395" s="3">
        <f>+IFERROR(VLOOKUP(A395,TB!$A$12:$C$403,2,),0)</f>
        <v>0</v>
      </c>
      <c r="G395" s="3">
        <f t="shared" si="34"/>
        <v>0</v>
      </c>
      <c r="H395" s="3">
        <f>+IFERROR(VLOOKUP(A395,TB!$A$12:$C$403,3,),0)</f>
        <v>80955</v>
      </c>
      <c r="J395" s="3">
        <f t="shared" si="35"/>
        <v>80955</v>
      </c>
      <c r="K395" s="3">
        <v>0</v>
      </c>
      <c r="L395" s="3">
        <v>0</v>
      </c>
      <c r="M395" s="3">
        <v>0</v>
      </c>
      <c r="N395" s="3">
        <v>411065</v>
      </c>
      <c r="O395" s="3">
        <v>0</v>
      </c>
      <c r="P395" s="3">
        <v>411065</v>
      </c>
    </row>
    <row r="396" spans="1:16" s="3" customFormat="1">
      <c r="A396" s="3" t="s">
        <v>422</v>
      </c>
      <c r="B396" s="4">
        <v>6</v>
      </c>
      <c r="C396" s="3" t="s">
        <v>15</v>
      </c>
      <c r="D396" s="3" t="s">
        <v>16</v>
      </c>
      <c r="E396" s="3">
        <f>+IFERROR(VLOOKUP(A396,TB!$A$12:$C$403,2,),0)</f>
        <v>0</v>
      </c>
      <c r="G396" s="3">
        <f t="shared" si="34"/>
        <v>0</v>
      </c>
      <c r="H396" s="3">
        <f>+IFERROR(VLOOKUP(A396,TB!$A$12:$C$403,3,),0)</f>
        <v>0</v>
      </c>
      <c r="J396" s="3">
        <f t="shared" si="35"/>
        <v>0</v>
      </c>
      <c r="K396" s="3">
        <v>365534</v>
      </c>
      <c r="L396" s="3">
        <v>0</v>
      </c>
      <c r="M396" s="3">
        <v>365534</v>
      </c>
      <c r="N396" s="3">
        <v>0</v>
      </c>
      <c r="O396" s="3">
        <v>0</v>
      </c>
      <c r="P396" s="3">
        <v>0</v>
      </c>
    </row>
    <row r="397" spans="1:16" s="3" customFormat="1">
      <c r="A397" s="3" t="s">
        <v>423</v>
      </c>
      <c r="B397" s="4">
        <v>23</v>
      </c>
      <c r="C397" s="3" t="s">
        <v>102</v>
      </c>
      <c r="D397" s="3" t="s">
        <v>103</v>
      </c>
      <c r="E397" s="3">
        <f>+IFERROR(VLOOKUP(A397,TB!$A$12:$C$403,2,),0)</f>
        <v>487412</v>
      </c>
      <c r="G397" s="3">
        <f t="shared" si="34"/>
        <v>487412</v>
      </c>
      <c r="H397" s="3">
        <f>+IFERROR(VLOOKUP(A397,TB!$A$12:$C$403,3,),0)</f>
        <v>0</v>
      </c>
      <c r="J397" s="3">
        <f t="shared" si="35"/>
        <v>0</v>
      </c>
      <c r="K397" s="3">
        <v>938042.5</v>
      </c>
      <c r="L397" s="3">
        <v>0</v>
      </c>
      <c r="M397" s="3">
        <v>938042.5</v>
      </c>
      <c r="N397" s="3">
        <v>0</v>
      </c>
      <c r="O397" s="3">
        <v>0</v>
      </c>
      <c r="P397" s="3">
        <v>0</v>
      </c>
    </row>
    <row r="398" spans="1:16" s="3" customFormat="1">
      <c r="A398" s="3" t="s">
        <v>424</v>
      </c>
      <c r="B398" s="4">
        <v>17</v>
      </c>
      <c r="C398" s="3" t="s">
        <v>10</v>
      </c>
      <c r="D398" s="3" t="s">
        <v>11</v>
      </c>
      <c r="E398" s="3">
        <f>+IFERROR(VLOOKUP(A398,TB!$A$12:$C$403,2,),0)</f>
        <v>0</v>
      </c>
      <c r="G398" s="3">
        <f t="shared" si="34"/>
        <v>0</v>
      </c>
      <c r="H398" s="3">
        <f>+IFERROR(VLOOKUP(A398,TB!$A$12:$C$403,3,),0)</f>
        <v>0</v>
      </c>
      <c r="J398" s="3">
        <f t="shared" si="35"/>
        <v>0</v>
      </c>
      <c r="K398" s="3">
        <v>56700</v>
      </c>
      <c r="L398" s="3">
        <v>0</v>
      </c>
      <c r="M398" s="3">
        <v>56700</v>
      </c>
      <c r="N398" s="3">
        <v>0</v>
      </c>
      <c r="O398" s="3">
        <v>0</v>
      </c>
      <c r="P398" s="3">
        <v>0</v>
      </c>
    </row>
    <row r="399" spans="1:16" s="3" customFormat="1">
      <c r="A399" s="3" t="s">
        <v>425</v>
      </c>
      <c r="B399" s="4">
        <v>6</v>
      </c>
      <c r="C399" s="3" t="s">
        <v>15</v>
      </c>
      <c r="D399" s="3" t="s">
        <v>16</v>
      </c>
      <c r="E399" s="3">
        <f>+IFERROR(VLOOKUP(A399,TB!$A$12:$C$403,2,),0)</f>
        <v>0</v>
      </c>
      <c r="G399" s="3">
        <f t="shared" si="34"/>
        <v>0</v>
      </c>
      <c r="H399" s="3">
        <f>+IFERROR(VLOOKUP(A399,TB!$A$12:$C$403,3,),0)</f>
        <v>0</v>
      </c>
      <c r="J399" s="3">
        <f t="shared" si="35"/>
        <v>0</v>
      </c>
      <c r="K399" s="3">
        <v>876095</v>
      </c>
      <c r="L399" s="3">
        <v>0</v>
      </c>
      <c r="M399" s="3">
        <v>876095</v>
      </c>
      <c r="N399" s="3">
        <v>0</v>
      </c>
      <c r="O399" s="3">
        <v>0</v>
      </c>
      <c r="P399" s="3">
        <v>0</v>
      </c>
    </row>
    <row r="400" spans="1:16" s="3" customFormat="1">
      <c r="A400" s="3" t="s">
        <v>426</v>
      </c>
      <c r="B400" s="4">
        <v>17</v>
      </c>
      <c r="C400" s="3" t="s">
        <v>10</v>
      </c>
      <c r="D400" s="3" t="s">
        <v>11</v>
      </c>
      <c r="E400" s="3">
        <f>+IFERROR(VLOOKUP(A400,TB!$A$12:$C$403,2,),0)</f>
        <v>0</v>
      </c>
      <c r="G400" s="3">
        <f t="shared" si="34"/>
        <v>0</v>
      </c>
      <c r="H400" s="3">
        <f>+IFERROR(VLOOKUP(A400,TB!$A$12:$C$403,3,),0)</f>
        <v>21491</v>
      </c>
      <c r="J400" s="3">
        <f t="shared" si="35"/>
        <v>21491</v>
      </c>
      <c r="K400" s="3">
        <v>0</v>
      </c>
      <c r="L400" s="3">
        <v>0</v>
      </c>
      <c r="M400" s="3">
        <v>0</v>
      </c>
      <c r="N400" s="3">
        <v>28252</v>
      </c>
      <c r="O400" s="3">
        <v>0</v>
      </c>
      <c r="P400" s="3">
        <v>28252</v>
      </c>
    </row>
    <row r="401" spans="1:16" s="3" customFormat="1">
      <c r="A401" s="3" t="s">
        <v>427</v>
      </c>
      <c r="B401" s="4">
        <v>27</v>
      </c>
      <c r="C401" s="3" t="s">
        <v>30</v>
      </c>
      <c r="D401" s="3" t="s">
        <v>428</v>
      </c>
      <c r="E401" s="3">
        <f>+IFERROR(VLOOKUP(A401,TB!$A$12:$C$403,2,),0)</f>
        <v>67144</v>
      </c>
      <c r="G401" s="3">
        <f t="shared" si="34"/>
        <v>67144</v>
      </c>
      <c r="H401" s="3">
        <f>+IFERROR(VLOOKUP(A401,TB!$A$12:$C$403,3,),0)</f>
        <v>0</v>
      </c>
      <c r="J401" s="3">
        <f t="shared" si="35"/>
        <v>0</v>
      </c>
      <c r="K401" s="3">
        <v>154050</v>
      </c>
      <c r="L401" s="3">
        <v>0</v>
      </c>
      <c r="M401" s="3">
        <v>154050</v>
      </c>
      <c r="N401" s="3">
        <v>0</v>
      </c>
      <c r="O401" s="3">
        <v>0</v>
      </c>
      <c r="P401" s="3">
        <v>0</v>
      </c>
    </row>
    <row r="402" spans="1:16" s="3" customFormat="1">
      <c r="A402" s="3" t="s">
        <v>429</v>
      </c>
      <c r="B402" s="4">
        <v>19</v>
      </c>
      <c r="C402" s="3" t="s">
        <v>57</v>
      </c>
      <c r="D402" s="3" t="s">
        <v>96</v>
      </c>
      <c r="E402" s="3">
        <f>+IFERROR(VLOOKUP(A402,TB!$A$12:$C$403,2,),0)</f>
        <v>0</v>
      </c>
      <c r="G402" s="3">
        <f t="shared" si="34"/>
        <v>0</v>
      </c>
      <c r="H402" s="3">
        <f>+IFERROR(VLOOKUP(A402,TB!$A$12:$C$403,3,),0)</f>
        <v>0</v>
      </c>
      <c r="J402" s="3">
        <f t="shared" si="35"/>
        <v>0</v>
      </c>
      <c r="K402" s="3">
        <v>0</v>
      </c>
      <c r="L402" s="3">
        <v>0</v>
      </c>
      <c r="M402" s="3">
        <v>0</v>
      </c>
      <c r="N402" s="3">
        <v>2903011.18</v>
      </c>
      <c r="O402" s="3">
        <v>0</v>
      </c>
      <c r="P402" s="3">
        <v>2903011.18</v>
      </c>
    </row>
    <row r="403" spans="1:16" s="3" customFormat="1">
      <c r="A403" s="3" t="s">
        <v>1208</v>
      </c>
      <c r="B403" s="4">
        <v>4</v>
      </c>
      <c r="C403" s="3" t="s">
        <v>24</v>
      </c>
      <c r="D403" s="3" t="s">
        <v>25</v>
      </c>
      <c r="E403" s="3">
        <f>+IFERROR(VLOOKUP(A403,TB!$A$12:$C$403,2,),0)</f>
        <v>0</v>
      </c>
      <c r="G403" s="3">
        <f t="shared" ref="G403" si="36">+E403+F403</f>
        <v>0</v>
      </c>
      <c r="H403" s="3">
        <f>+IFERROR(VLOOKUP(A403,TB!$A$12:$C$403,3,),0)</f>
        <v>0</v>
      </c>
      <c r="J403" s="3">
        <f t="shared" ref="J403" si="37">+H403+I403</f>
        <v>0</v>
      </c>
      <c r="K403" s="3">
        <v>1031300</v>
      </c>
      <c r="L403" s="3">
        <v>0</v>
      </c>
      <c r="M403" s="3">
        <v>1031300</v>
      </c>
      <c r="N403" s="3">
        <v>0</v>
      </c>
      <c r="O403" s="3">
        <v>0</v>
      </c>
      <c r="P403" s="3">
        <v>0</v>
      </c>
    </row>
    <row r="404" spans="1:16" s="3" customFormat="1">
      <c r="A404" s="3" t="s">
        <v>430</v>
      </c>
      <c r="B404" s="4"/>
      <c r="C404" s="3" t="s">
        <v>57</v>
      </c>
      <c r="D404" s="3" t="s">
        <v>58</v>
      </c>
      <c r="E404" s="3">
        <f>+IFERROR(VLOOKUP(A404,TB!$A$12:$C$403,2,),0)</f>
        <v>0</v>
      </c>
      <c r="G404" s="3">
        <f t="shared" si="34"/>
        <v>0</v>
      </c>
      <c r="H404" s="3">
        <f>+IFERROR(VLOOKUP(A404,TB!$A$12:$C$403,3,),0)</f>
        <v>3104070</v>
      </c>
      <c r="J404" s="3">
        <f t="shared" si="35"/>
        <v>3104070</v>
      </c>
      <c r="K404" s="3">
        <v>1031300</v>
      </c>
      <c r="L404" s="3">
        <v>0</v>
      </c>
      <c r="M404" s="3">
        <v>1031300</v>
      </c>
      <c r="N404" s="3">
        <v>0</v>
      </c>
      <c r="O404" s="3">
        <v>0</v>
      </c>
      <c r="P404" s="3">
        <v>0</v>
      </c>
    </row>
    <row r="405" spans="1:16" s="3" customFormat="1">
      <c r="A405" s="3" t="s">
        <v>431</v>
      </c>
      <c r="B405" s="4">
        <v>17</v>
      </c>
      <c r="C405" s="3" t="s">
        <v>10</v>
      </c>
      <c r="D405" s="3" t="s">
        <v>10</v>
      </c>
      <c r="E405" s="3">
        <f>+IFERROR(VLOOKUP(A405,TB!$A$12:$C$403,2,),0)</f>
        <v>0</v>
      </c>
      <c r="G405" s="3">
        <f t="shared" si="34"/>
        <v>0</v>
      </c>
      <c r="H405" s="3">
        <f>+IFERROR(VLOOKUP(A405,TB!$A$12:$C$403,3,),0)</f>
        <v>0</v>
      </c>
      <c r="J405" s="3">
        <f t="shared" si="35"/>
        <v>0</v>
      </c>
      <c r="K405" s="3">
        <v>0</v>
      </c>
      <c r="L405" s="3">
        <v>0</v>
      </c>
      <c r="M405" s="3">
        <v>0</v>
      </c>
      <c r="N405" s="3">
        <v>244960</v>
      </c>
      <c r="O405" s="3">
        <v>0</v>
      </c>
      <c r="P405" s="3">
        <v>244960</v>
      </c>
    </row>
    <row r="406" spans="1:16" s="3" customFormat="1">
      <c r="A406" s="3" t="s">
        <v>432</v>
      </c>
      <c r="B406" s="4">
        <v>27</v>
      </c>
      <c r="C406" s="3" t="s">
        <v>30</v>
      </c>
      <c r="D406" s="3" t="s">
        <v>432</v>
      </c>
      <c r="E406" s="3">
        <f>+IFERROR(VLOOKUP(A406,TB!$A$12:$C$403,2,),0)</f>
        <v>1585770</v>
      </c>
      <c r="G406" s="3">
        <f t="shared" si="34"/>
        <v>1585770</v>
      </c>
      <c r="H406" s="3">
        <f>+IFERROR(VLOOKUP(A406,TB!$A$12:$C$403,3,),0)</f>
        <v>0</v>
      </c>
      <c r="J406" s="3">
        <f t="shared" si="35"/>
        <v>0</v>
      </c>
      <c r="K406" s="3">
        <v>1397360</v>
      </c>
      <c r="L406" s="3">
        <v>0</v>
      </c>
      <c r="M406" s="3">
        <v>1397360</v>
      </c>
      <c r="N406" s="3">
        <v>0</v>
      </c>
      <c r="O406" s="3">
        <v>0</v>
      </c>
      <c r="P406" s="3">
        <v>0</v>
      </c>
    </row>
    <row r="407" spans="1:16" s="3" customFormat="1">
      <c r="A407" s="3" t="s">
        <v>433</v>
      </c>
      <c r="B407" s="4">
        <v>17</v>
      </c>
      <c r="C407" s="3" t="s">
        <v>10</v>
      </c>
      <c r="D407" s="3" t="s">
        <v>11</v>
      </c>
      <c r="E407" s="3">
        <f>+IFERROR(VLOOKUP(A407,TB!$A$12:$C$403,2,),0)</f>
        <v>0</v>
      </c>
      <c r="G407" s="3">
        <f t="shared" si="34"/>
        <v>0</v>
      </c>
      <c r="H407" s="3">
        <f>+IFERROR(VLOOKUP(A407,TB!$A$12:$C$403,3,),0)</f>
        <v>0</v>
      </c>
      <c r="J407" s="3">
        <f t="shared" si="35"/>
        <v>0</v>
      </c>
      <c r="K407" s="3">
        <v>0</v>
      </c>
      <c r="L407" s="3">
        <v>0</v>
      </c>
      <c r="M407" s="3">
        <v>0</v>
      </c>
      <c r="N407" s="3">
        <v>29986</v>
      </c>
      <c r="O407" s="3">
        <v>0</v>
      </c>
      <c r="P407" s="3">
        <v>29986</v>
      </c>
    </row>
    <row r="408" spans="1:16" s="3" customFormat="1">
      <c r="A408" s="3" t="s">
        <v>434</v>
      </c>
      <c r="B408" s="4">
        <v>27</v>
      </c>
      <c r="C408" s="3" t="s">
        <v>51</v>
      </c>
      <c r="D408" s="3" t="s">
        <v>68</v>
      </c>
      <c r="E408" s="3">
        <f>+IFERROR(VLOOKUP(A408,TB!$A$12:$C$403,2,),0)</f>
        <v>0</v>
      </c>
      <c r="G408" s="3">
        <f t="shared" si="34"/>
        <v>0</v>
      </c>
      <c r="H408" s="3">
        <f>+IFERROR(VLOOKUP(A408,TB!$A$12:$C$403,3,),0)</f>
        <v>0</v>
      </c>
      <c r="J408" s="3">
        <f t="shared" si="35"/>
        <v>0</v>
      </c>
      <c r="K408" s="3">
        <v>351972</v>
      </c>
      <c r="L408" s="3">
        <v>0</v>
      </c>
      <c r="M408" s="3">
        <v>351972</v>
      </c>
      <c r="N408" s="3">
        <v>0</v>
      </c>
      <c r="O408" s="3">
        <v>0</v>
      </c>
      <c r="P408" s="3">
        <v>0</v>
      </c>
    </row>
    <row r="409" spans="1:16" s="3" customFormat="1">
      <c r="A409" s="3" t="s">
        <v>435</v>
      </c>
      <c r="B409" s="4">
        <v>23</v>
      </c>
      <c r="C409" s="3" t="s">
        <v>102</v>
      </c>
      <c r="D409" s="3" t="s">
        <v>103</v>
      </c>
      <c r="E409" s="3">
        <f>+IFERROR(VLOOKUP(A409,TB!$A$12:$C$403,2,),0)</f>
        <v>5672492</v>
      </c>
      <c r="G409" s="3">
        <f t="shared" si="34"/>
        <v>5672492</v>
      </c>
      <c r="H409" s="3">
        <f>+IFERROR(VLOOKUP(A409,TB!$A$12:$C$403,3,),0)</f>
        <v>0</v>
      </c>
      <c r="J409" s="3">
        <f t="shared" si="35"/>
        <v>0</v>
      </c>
      <c r="K409" s="3">
        <v>826334</v>
      </c>
      <c r="L409" s="3">
        <v>0</v>
      </c>
      <c r="M409" s="3">
        <v>826334</v>
      </c>
      <c r="N409" s="3">
        <v>0</v>
      </c>
      <c r="O409" s="3">
        <v>0</v>
      </c>
      <c r="P409" s="3">
        <v>0</v>
      </c>
    </row>
    <row r="410" spans="1:16" s="3" customFormat="1">
      <c r="A410" s="3" t="s">
        <v>2935</v>
      </c>
      <c r="B410" s="4">
        <v>23</v>
      </c>
      <c r="C410" s="3" t="s">
        <v>102</v>
      </c>
      <c r="D410" s="3" t="s">
        <v>103</v>
      </c>
      <c r="E410" s="3">
        <f>+IFERROR(VLOOKUP(A410,TB!$A$12:$C$403,2,),0)</f>
        <v>419631</v>
      </c>
      <c r="F410" s="3">
        <v>0</v>
      </c>
      <c r="G410" s="3">
        <f t="shared" si="34"/>
        <v>419631</v>
      </c>
      <c r="H410" s="3">
        <f>+IFERROR(VLOOKUP(A410,TB!$A$12:$C$403,3,),0)</f>
        <v>0</v>
      </c>
      <c r="J410" s="3">
        <f t="shared" si="35"/>
        <v>0</v>
      </c>
      <c r="K410" s="3">
        <v>0</v>
      </c>
      <c r="L410" s="3">
        <v>0</v>
      </c>
      <c r="M410" s="3">
        <v>0</v>
      </c>
      <c r="N410" s="3">
        <v>0</v>
      </c>
      <c r="O410" s="3">
        <v>0</v>
      </c>
      <c r="P410" s="3">
        <v>0</v>
      </c>
    </row>
    <row r="411" spans="1:16" s="3" customFormat="1">
      <c r="A411" s="3" t="s">
        <v>2772</v>
      </c>
      <c r="B411" s="4">
        <v>18</v>
      </c>
      <c r="C411" s="3" t="s">
        <v>57</v>
      </c>
      <c r="D411" s="3" t="s">
        <v>2773</v>
      </c>
      <c r="J411" s="3">
        <f t="shared" si="35"/>
        <v>0</v>
      </c>
    </row>
    <row r="412" spans="1:16" s="3" customFormat="1">
      <c r="A412" s="3" t="s">
        <v>436</v>
      </c>
      <c r="B412" s="4">
        <v>21</v>
      </c>
      <c r="C412" s="3" t="s">
        <v>158</v>
      </c>
      <c r="D412" s="3" t="s">
        <v>159</v>
      </c>
      <c r="E412" s="3">
        <f>+IFERROR(VLOOKUP(A412,TB!$A$12:$C$403,2,),0)</f>
        <v>47111095.43</v>
      </c>
      <c r="G412" s="3">
        <f t="shared" si="34"/>
        <v>47111095.43</v>
      </c>
      <c r="H412" s="3">
        <f>+IFERROR(VLOOKUP(A412,TB!$A$12:$C$403,3,),0)</f>
        <v>0</v>
      </c>
      <c r="J412" s="3">
        <f t="shared" si="35"/>
        <v>0</v>
      </c>
      <c r="K412" s="3">
        <v>39401489</v>
      </c>
      <c r="L412" s="3">
        <v>0</v>
      </c>
      <c r="M412" s="3">
        <v>39401489</v>
      </c>
      <c r="N412" s="3">
        <v>0</v>
      </c>
      <c r="O412" s="3">
        <v>0</v>
      </c>
      <c r="P412" s="3">
        <v>0</v>
      </c>
    </row>
    <row r="413" spans="1:16" s="3" customFormat="1">
      <c r="A413" s="3" t="s">
        <v>437</v>
      </c>
      <c r="B413" s="4">
        <v>17</v>
      </c>
      <c r="C413" s="3" t="s">
        <v>10</v>
      </c>
      <c r="D413" s="3" t="s">
        <v>11</v>
      </c>
      <c r="E413" s="3">
        <f>+IFERROR(VLOOKUP(A413,TB!$A$12:$C$403,2,),0)</f>
        <v>0</v>
      </c>
      <c r="G413" s="3">
        <f t="shared" si="34"/>
        <v>0</v>
      </c>
      <c r="H413" s="3">
        <f>+IFERROR(VLOOKUP(A413,TB!$A$12:$C$403,3,),0)</f>
        <v>0</v>
      </c>
      <c r="J413" s="3">
        <f t="shared" si="35"/>
        <v>0</v>
      </c>
      <c r="K413" s="3">
        <v>0</v>
      </c>
      <c r="L413" s="3">
        <v>0</v>
      </c>
      <c r="M413" s="3">
        <v>0</v>
      </c>
      <c r="N413" s="3">
        <v>78588</v>
      </c>
      <c r="O413" s="3">
        <v>0</v>
      </c>
      <c r="P413" s="3">
        <v>78588</v>
      </c>
    </row>
    <row r="414" spans="1:16" s="3" customFormat="1">
      <c r="A414" s="3" t="s">
        <v>438</v>
      </c>
      <c r="B414" s="4">
        <v>27</v>
      </c>
      <c r="C414" s="3" t="s">
        <v>51</v>
      </c>
      <c r="D414" s="3" t="s">
        <v>87</v>
      </c>
      <c r="E414" s="3">
        <f>+IFERROR(VLOOKUP(A414,TB!$A$12:$C$403,2,),0)</f>
        <v>0</v>
      </c>
      <c r="G414" s="3">
        <f t="shared" si="34"/>
        <v>0</v>
      </c>
      <c r="H414" s="3">
        <f>+IFERROR(VLOOKUP(A414,TB!$A$12:$C$403,3,),0)</f>
        <v>0</v>
      </c>
      <c r="J414" s="3">
        <f t="shared" si="35"/>
        <v>0</v>
      </c>
      <c r="K414" s="3">
        <v>896</v>
      </c>
      <c r="L414" s="3">
        <v>0</v>
      </c>
      <c r="M414" s="3">
        <v>896</v>
      </c>
      <c r="N414" s="3">
        <v>0</v>
      </c>
      <c r="O414" s="3">
        <v>0</v>
      </c>
      <c r="P414" s="3">
        <v>0</v>
      </c>
    </row>
    <row r="415" spans="1:16" s="3" customFormat="1">
      <c r="A415" s="3" t="s">
        <v>439</v>
      </c>
      <c r="B415" s="4">
        <v>17</v>
      </c>
      <c r="C415" s="3" t="s">
        <v>10</v>
      </c>
      <c r="D415" s="3" t="s">
        <v>11</v>
      </c>
      <c r="E415" s="3">
        <f>+IFERROR(VLOOKUP(A415,TB!$A$12:$C$403,2,),0)</f>
        <v>0</v>
      </c>
      <c r="G415" s="3">
        <f t="shared" si="34"/>
        <v>0</v>
      </c>
      <c r="H415" s="3">
        <f>+IFERROR(VLOOKUP(A415,TB!$A$12:$C$403,3,),0)</f>
        <v>0</v>
      </c>
      <c r="J415" s="3">
        <f t="shared" si="35"/>
        <v>0</v>
      </c>
      <c r="K415" s="3">
        <v>0</v>
      </c>
      <c r="L415" s="3">
        <v>0</v>
      </c>
      <c r="M415" s="3">
        <v>0</v>
      </c>
      <c r="N415" s="3">
        <v>227278</v>
      </c>
      <c r="O415" s="3">
        <v>0</v>
      </c>
      <c r="P415" s="3">
        <v>227278</v>
      </c>
    </row>
    <row r="416" spans="1:16" s="3" customFormat="1">
      <c r="A416" s="3" t="s">
        <v>440</v>
      </c>
      <c r="B416" s="4">
        <v>3</v>
      </c>
      <c r="C416" s="3" t="s">
        <v>130</v>
      </c>
      <c r="D416" s="3" t="s">
        <v>131</v>
      </c>
      <c r="E416" s="3">
        <f>+IFERROR(VLOOKUP(A416,TB!$A$12:$C$403,2,),0)</f>
        <v>261462</v>
      </c>
      <c r="G416" s="3">
        <f t="shared" si="34"/>
        <v>261462</v>
      </c>
      <c r="H416" s="3">
        <f>+IFERROR(VLOOKUP(A416,TB!$A$12:$C$403,3,),0)</f>
        <v>0</v>
      </c>
      <c r="J416" s="3">
        <f t="shared" si="35"/>
        <v>0</v>
      </c>
      <c r="K416" s="3">
        <v>250000</v>
      </c>
      <c r="L416" s="3">
        <v>0</v>
      </c>
      <c r="M416" s="3">
        <v>250000</v>
      </c>
      <c r="N416" s="3">
        <v>0</v>
      </c>
      <c r="O416" s="3">
        <v>0</v>
      </c>
      <c r="P416" s="3">
        <v>0</v>
      </c>
    </row>
    <row r="417" spans="1:16" s="3" customFormat="1">
      <c r="A417" s="3" t="s">
        <v>441</v>
      </c>
      <c r="B417" s="4">
        <v>27</v>
      </c>
      <c r="C417" s="3" t="s">
        <v>77</v>
      </c>
      <c r="D417" s="3" t="s">
        <v>78</v>
      </c>
      <c r="E417" s="3">
        <f>+IFERROR(VLOOKUP(A417,TB!$A$12:$C$403,2,),0)</f>
        <v>0</v>
      </c>
      <c r="G417" s="3">
        <f t="shared" si="34"/>
        <v>0</v>
      </c>
      <c r="H417" s="3">
        <f>+IFERROR(VLOOKUP(A417,TB!$A$12:$C$403,3,),0)</f>
        <v>0</v>
      </c>
      <c r="J417" s="3">
        <f t="shared" si="35"/>
        <v>0</v>
      </c>
      <c r="K417" s="3">
        <v>60</v>
      </c>
      <c r="L417" s="3">
        <v>0</v>
      </c>
      <c r="M417" s="3">
        <v>60</v>
      </c>
      <c r="N417" s="3">
        <v>0</v>
      </c>
      <c r="O417" s="3">
        <v>0</v>
      </c>
      <c r="P417" s="3">
        <v>0</v>
      </c>
    </row>
    <row r="418" spans="1:16" s="3" customFormat="1">
      <c r="A418" s="3" t="s">
        <v>442</v>
      </c>
      <c r="B418" s="4">
        <v>13</v>
      </c>
      <c r="C418" s="3" t="s">
        <v>47</v>
      </c>
      <c r="D418" s="3" t="s">
        <v>48</v>
      </c>
      <c r="E418" s="3">
        <f>+IFERROR(VLOOKUP(A418,TB!$A$12:$C$403,2,),0)</f>
        <v>0</v>
      </c>
      <c r="G418" s="3">
        <f t="shared" si="34"/>
        <v>0</v>
      </c>
      <c r="H418" s="3">
        <f>+IFERROR(VLOOKUP(A418,TB!$A$12:$C$403,3,),0)</f>
        <v>1896290</v>
      </c>
      <c r="J418" s="3">
        <f t="shared" si="35"/>
        <v>1896290</v>
      </c>
      <c r="K418" s="3">
        <v>0</v>
      </c>
      <c r="L418" s="3">
        <v>0</v>
      </c>
      <c r="M418" s="3">
        <v>0</v>
      </c>
      <c r="N418" s="3">
        <v>2165420</v>
      </c>
      <c r="O418" s="3">
        <v>0</v>
      </c>
      <c r="P418" s="3">
        <v>2165420</v>
      </c>
    </row>
    <row r="419" spans="1:16" s="3" customFormat="1">
      <c r="A419" s="3" t="s">
        <v>1209</v>
      </c>
      <c r="B419" s="4">
        <v>4</v>
      </c>
      <c r="C419" s="3" t="s">
        <v>24</v>
      </c>
      <c r="D419" s="3" t="s">
        <v>25</v>
      </c>
      <c r="E419" s="3">
        <f>+IFERROR(VLOOKUP(A419,TB!$A$12:$C$403,2,),0)</f>
        <v>0</v>
      </c>
      <c r="G419" s="3">
        <f t="shared" ref="G419" si="38">+E419+F419</f>
        <v>0</v>
      </c>
      <c r="H419" s="3">
        <f>+IFERROR(VLOOKUP(A419,TB!$A$12:$C$403,3,),0)</f>
        <v>0</v>
      </c>
      <c r="J419" s="3">
        <f t="shared" ref="J419" si="39">+H419+I419</f>
        <v>0</v>
      </c>
      <c r="K419" s="3">
        <v>927610</v>
      </c>
      <c r="L419" s="3">
        <v>0</v>
      </c>
      <c r="M419" s="3">
        <v>927610</v>
      </c>
      <c r="N419" s="3">
        <v>0</v>
      </c>
      <c r="O419" s="3">
        <v>0</v>
      </c>
      <c r="P419" s="3">
        <v>0</v>
      </c>
    </row>
    <row r="420" spans="1:16" s="3" customFormat="1">
      <c r="A420" s="3" t="s">
        <v>443</v>
      </c>
      <c r="B420" s="4"/>
      <c r="C420" s="3" t="s">
        <v>57</v>
      </c>
      <c r="D420" s="3" t="s">
        <v>58</v>
      </c>
      <c r="E420" s="3">
        <f>+IFERROR(VLOOKUP(A420,TB!$A$12:$C$403,2,),0)</f>
        <v>0</v>
      </c>
      <c r="G420" s="3">
        <f t="shared" si="34"/>
        <v>0</v>
      </c>
      <c r="H420" s="3">
        <f>+IFERROR(VLOOKUP(A420,TB!$A$12:$C$403,3,),0)</f>
        <v>444140</v>
      </c>
      <c r="J420" s="3">
        <f t="shared" si="35"/>
        <v>444140</v>
      </c>
    </row>
    <row r="421" spans="1:16" s="3" customFormat="1">
      <c r="A421" s="3" t="s">
        <v>444</v>
      </c>
      <c r="B421" s="4">
        <v>4</v>
      </c>
      <c r="C421" s="3" t="s">
        <v>24</v>
      </c>
      <c r="D421" s="3" t="s">
        <v>25</v>
      </c>
      <c r="E421" s="3">
        <f>+IFERROR(VLOOKUP(A421,TB!$A$12:$C$403,2,),0)</f>
        <v>0</v>
      </c>
      <c r="G421" s="3">
        <f t="shared" si="34"/>
        <v>0</v>
      </c>
      <c r="H421" s="3">
        <f>+IFERROR(VLOOKUP(A421,TB!$A$12:$C$403,3,),0)</f>
        <v>0</v>
      </c>
      <c r="J421" s="3">
        <f t="shared" si="35"/>
        <v>0</v>
      </c>
      <c r="K421" s="3">
        <v>1200000</v>
      </c>
      <c r="L421" s="3">
        <v>0</v>
      </c>
      <c r="M421" s="3">
        <v>1200000</v>
      </c>
      <c r="N421" s="3">
        <v>0</v>
      </c>
      <c r="O421" s="3">
        <v>0</v>
      </c>
      <c r="P421" s="3">
        <v>0</v>
      </c>
    </row>
    <row r="422" spans="1:16" s="3" customFormat="1">
      <c r="A422" s="3" t="s">
        <v>445</v>
      </c>
      <c r="B422" s="4">
        <v>19</v>
      </c>
      <c r="C422" s="3" t="s">
        <v>57</v>
      </c>
      <c r="D422" s="3" t="s">
        <v>96</v>
      </c>
      <c r="E422" s="3">
        <f>+IFERROR(VLOOKUP(A422,TB!$A$12:$C$403,2,),0)</f>
        <v>0</v>
      </c>
      <c r="G422" s="3">
        <f t="shared" si="34"/>
        <v>0</v>
      </c>
      <c r="H422" s="3">
        <f>+IFERROR(VLOOKUP(A422,TB!$A$12:$C$403,3,),0)</f>
        <v>0</v>
      </c>
      <c r="J422" s="3">
        <f t="shared" si="35"/>
        <v>0</v>
      </c>
      <c r="K422" s="3">
        <v>0</v>
      </c>
      <c r="L422" s="3">
        <v>0</v>
      </c>
      <c r="M422" s="3">
        <v>0</v>
      </c>
      <c r="N422" s="3">
        <v>308166.59000000003</v>
      </c>
      <c r="O422" s="3">
        <v>0</v>
      </c>
      <c r="P422" s="3">
        <v>308166.59000000003</v>
      </c>
    </row>
    <row r="423" spans="1:16" s="3" customFormat="1">
      <c r="A423" s="3" t="s">
        <v>446</v>
      </c>
      <c r="B423" s="4">
        <v>19</v>
      </c>
      <c r="C423" s="3" t="s">
        <v>57</v>
      </c>
      <c r="D423" s="3" t="s">
        <v>96</v>
      </c>
      <c r="E423" s="3">
        <f>+IFERROR(VLOOKUP(A423,TB!$A$12:$C$403,2,),0)</f>
        <v>0</v>
      </c>
      <c r="G423" s="3">
        <f t="shared" si="34"/>
        <v>0</v>
      </c>
      <c r="H423" s="3">
        <f>+IFERROR(VLOOKUP(A423,TB!$A$12:$C$403,3,),0)</f>
        <v>0</v>
      </c>
      <c r="J423" s="3">
        <f t="shared" si="35"/>
        <v>0</v>
      </c>
      <c r="K423" s="3">
        <v>315731.11</v>
      </c>
      <c r="L423" s="3">
        <v>0</v>
      </c>
      <c r="M423" s="3">
        <v>315731.11</v>
      </c>
      <c r="N423" s="3">
        <v>0</v>
      </c>
      <c r="O423" s="3">
        <v>0</v>
      </c>
      <c r="P423" s="3">
        <v>0</v>
      </c>
    </row>
    <row r="424" spans="1:16" s="3" customFormat="1">
      <c r="A424" s="3" t="s">
        <v>1210</v>
      </c>
      <c r="B424" s="4">
        <v>4</v>
      </c>
      <c r="C424" s="3" t="s">
        <v>24</v>
      </c>
      <c r="D424" s="3" t="s">
        <v>25</v>
      </c>
      <c r="E424" s="3">
        <f>+IFERROR(VLOOKUP(A424,TB!$A$12:$C$403,2,),0)</f>
        <v>0</v>
      </c>
      <c r="G424" s="3">
        <f t="shared" ref="G424" si="40">+E424+F424</f>
        <v>0</v>
      </c>
      <c r="H424" s="3">
        <f>+IFERROR(VLOOKUP(A424,TB!$A$12:$C$403,3,),0)</f>
        <v>0</v>
      </c>
      <c r="J424" s="3">
        <f t="shared" ref="J424" si="41">+H424+I424</f>
        <v>0</v>
      </c>
      <c r="K424" s="3">
        <v>300000</v>
      </c>
      <c r="L424" s="3">
        <v>0</v>
      </c>
      <c r="M424" s="3">
        <v>300000</v>
      </c>
      <c r="N424" s="3">
        <v>0</v>
      </c>
      <c r="O424" s="3">
        <v>0</v>
      </c>
      <c r="P424" s="3">
        <v>0</v>
      </c>
    </row>
    <row r="425" spans="1:16" s="3" customFormat="1">
      <c r="A425" s="3" t="s">
        <v>447</v>
      </c>
      <c r="B425" s="4"/>
      <c r="C425" s="3" t="s">
        <v>57</v>
      </c>
      <c r="D425" s="3" t="s">
        <v>58</v>
      </c>
      <c r="E425" s="3">
        <f>+IFERROR(VLOOKUP(A425,TB!$A$12:$C$403,2,),0)</f>
        <v>0</v>
      </c>
      <c r="G425" s="3">
        <f t="shared" si="34"/>
        <v>0</v>
      </c>
      <c r="H425" s="3">
        <f>+IFERROR(VLOOKUP(A425,TB!$A$12:$C$403,3,),0)</f>
        <v>100000</v>
      </c>
      <c r="J425" s="3">
        <f t="shared" si="35"/>
        <v>100000</v>
      </c>
    </row>
    <row r="426" spans="1:16" s="3" customFormat="1">
      <c r="A426" s="3" t="s">
        <v>448</v>
      </c>
      <c r="B426" s="4">
        <v>27</v>
      </c>
      <c r="C426" s="3" t="s">
        <v>51</v>
      </c>
      <c r="D426" s="3" t="s">
        <v>52</v>
      </c>
      <c r="E426" s="3">
        <f>+IFERROR(VLOOKUP(A426,TB!$A$12:$C$403,2,),0)</f>
        <v>0</v>
      </c>
      <c r="G426" s="3">
        <f t="shared" si="34"/>
        <v>0</v>
      </c>
      <c r="H426" s="3">
        <f>+IFERROR(VLOOKUP(A426,TB!$A$12:$C$403,3,),0)</f>
        <v>0</v>
      </c>
      <c r="J426" s="3">
        <f t="shared" si="35"/>
        <v>0</v>
      </c>
      <c r="K426" s="3">
        <v>345100</v>
      </c>
      <c r="L426" s="3">
        <v>0</v>
      </c>
      <c r="M426" s="3">
        <v>345100</v>
      </c>
      <c r="N426" s="3">
        <v>0</v>
      </c>
      <c r="O426" s="3">
        <v>0</v>
      </c>
      <c r="P426" s="3">
        <v>0</v>
      </c>
    </row>
    <row r="427" spans="1:16" s="3" customFormat="1">
      <c r="A427" s="3" t="s">
        <v>449</v>
      </c>
      <c r="B427" s="4">
        <v>4</v>
      </c>
      <c r="C427" s="3" t="s">
        <v>24</v>
      </c>
      <c r="D427" s="3" t="s">
        <v>25</v>
      </c>
      <c r="E427" s="3">
        <f>+IFERROR(VLOOKUP(A427,TB!$A$12:$C$403,2,),0)</f>
        <v>0</v>
      </c>
      <c r="G427" s="3">
        <f t="shared" si="34"/>
        <v>0</v>
      </c>
      <c r="H427" s="3">
        <f>+IFERROR(VLOOKUP(A427,TB!$A$12:$C$403,3,),0)</f>
        <v>0</v>
      </c>
      <c r="J427" s="3">
        <f t="shared" si="35"/>
        <v>0</v>
      </c>
      <c r="K427" s="3">
        <v>200000</v>
      </c>
      <c r="L427" s="3">
        <v>0</v>
      </c>
      <c r="M427" s="3">
        <v>200000</v>
      </c>
      <c r="N427" s="3">
        <v>0</v>
      </c>
      <c r="O427" s="3">
        <v>0</v>
      </c>
      <c r="P427" s="3">
        <v>0</v>
      </c>
    </row>
    <row r="428" spans="1:16" s="3" customFormat="1">
      <c r="A428" s="3" t="s">
        <v>450</v>
      </c>
      <c r="B428" s="4">
        <v>17</v>
      </c>
      <c r="C428" s="3" t="s">
        <v>10</v>
      </c>
      <c r="D428" s="3" t="s">
        <v>10</v>
      </c>
      <c r="E428" s="3">
        <f>+IFERROR(VLOOKUP(A428,TB!$A$12:$C$403,2,),0)</f>
        <v>0</v>
      </c>
      <c r="G428" s="3">
        <f t="shared" si="34"/>
        <v>0</v>
      </c>
      <c r="H428" s="3">
        <f>+IFERROR(VLOOKUP(A428,TB!$A$12:$C$403,3,),0)</f>
        <v>193615</v>
      </c>
      <c r="J428" s="3">
        <f t="shared" si="35"/>
        <v>193615</v>
      </c>
      <c r="K428" s="3">
        <v>0</v>
      </c>
      <c r="L428" s="3">
        <v>0</v>
      </c>
      <c r="M428" s="3">
        <v>0</v>
      </c>
      <c r="N428" s="3">
        <v>266778</v>
      </c>
      <c r="O428" s="3">
        <v>0</v>
      </c>
      <c r="P428" s="3">
        <v>266778</v>
      </c>
    </row>
    <row r="429" spans="1:16" s="3" customFormat="1">
      <c r="A429" s="3" t="s">
        <v>451</v>
      </c>
      <c r="B429" s="4">
        <v>10</v>
      </c>
      <c r="C429" s="3" t="s">
        <v>34</v>
      </c>
      <c r="D429" s="3" t="s">
        <v>219</v>
      </c>
      <c r="E429" s="3">
        <f>+IFERROR(VLOOKUP(A429,TB!$A$12:$C$403,2,),0)</f>
        <v>0</v>
      </c>
      <c r="G429" s="3">
        <f t="shared" si="34"/>
        <v>0</v>
      </c>
      <c r="H429" s="3">
        <f>+IFERROR(VLOOKUP(A429,TB!$A$12:$C$403,3,),0)</f>
        <v>0</v>
      </c>
      <c r="J429" s="3">
        <f t="shared" si="35"/>
        <v>0</v>
      </c>
      <c r="K429" s="3">
        <v>6177</v>
      </c>
      <c r="L429" s="3">
        <v>0</v>
      </c>
      <c r="M429" s="3">
        <v>6177</v>
      </c>
      <c r="N429" s="3">
        <v>0</v>
      </c>
      <c r="O429" s="3">
        <v>0</v>
      </c>
      <c r="P429" s="3">
        <v>0</v>
      </c>
    </row>
    <row r="430" spans="1:16" s="3" customFormat="1">
      <c r="A430" s="3" t="s">
        <v>452</v>
      </c>
      <c r="B430" s="4">
        <v>27</v>
      </c>
      <c r="C430" s="3" t="s">
        <v>51</v>
      </c>
      <c r="D430" s="3" t="s">
        <v>87</v>
      </c>
      <c r="E430" s="3">
        <f>+IFERROR(VLOOKUP(A430,TB!$A$12:$C$403,2,),0)</f>
        <v>0</v>
      </c>
      <c r="G430" s="3">
        <f t="shared" si="34"/>
        <v>0</v>
      </c>
      <c r="H430" s="3">
        <f>+IFERROR(VLOOKUP(A430,TB!$A$12:$C$403,3,),0)</f>
        <v>0</v>
      </c>
      <c r="J430" s="3">
        <f t="shared" si="35"/>
        <v>0</v>
      </c>
      <c r="K430" s="3">
        <v>600</v>
      </c>
      <c r="L430" s="3">
        <v>0</v>
      </c>
      <c r="M430" s="3">
        <v>600</v>
      </c>
      <c r="N430" s="3">
        <v>0</v>
      </c>
      <c r="O430" s="3">
        <v>0</v>
      </c>
      <c r="P430" s="3">
        <v>0</v>
      </c>
    </row>
    <row r="431" spans="1:16" s="3" customFormat="1">
      <c r="A431" s="3" t="s">
        <v>453</v>
      </c>
      <c r="B431" s="4">
        <v>26</v>
      </c>
      <c r="C431" s="3" t="s">
        <v>71</v>
      </c>
      <c r="D431" s="3" t="s">
        <v>225</v>
      </c>
      <c r="E431" s="3">
        <f>+IFERROR(VLOOKUP(A431,TB!$A$12:$C$403,2,),0)</f>
        <v>0</v>
      </c>
      <c r="G431" s="3">
        <f t="shared" si="34"/>
        <v>0</v>
      </c>
      <c r="H431" s="3">
        <f>+IFERROR(VLOOKUP(A431,TB!$A$12:$C$403,3,),0)</f>
        <v>0</v>
      </c>
      <c r="J431" s="3">
        <f t="shared" si="35"/>
        <v>0</v>
      </c>
      <c r="K431" s="3">
        <v>193596</v>
      </c>
      <c r="L431" s="3">
        <v>0</v>
      </c>
      <c r="M431" s="3">
        <v>193596</v>
      </c>
      <c r="N431" s="3">
        <v>0</v>
      </c>
      <c r="O431" s="3">
        <v>0</v>
      </c>
      <c r="P431" s="3">
        <v>0</v>
      </c>
    </row>
    <row r="432" spans="1:16" s="3" customFormat="1">
      <c r="A432" s="3" t="s">
        <v>454</v>
      </c>
      <c r="B432" s="4">
        <v>17</v>
      </c>
      <c r="C432" s="3" t="s">
        <v>10</v>
      </c>
      <c r="D432" s="3" t="s">
        <v>10</v>
      </c>
      <c r="E432" s="3">
        <f>+IFERROR(VLOOKUP(A432,TB!$A$12:$C$403,2,),0)</f>
        <v>0</v>
      </c>
      <c r="G432" s="3">
        <f t="shared" si="34"/>
        <v>0</v>
      </c>
      <c r="H432" s="3">
        <f>+IFERROR(VLOOKUP(A432,TB!$A$12:$C$403,3,),0)</f>
        <v>11543115</v>
      </c>
      <c r="J432" s="3">
        <f t="shared" si="35"/>
        <v>11543115</v>
      </c>
      <c r="K432" s="3">
        <v>0</v>
      </c>
      <c r="L432" s="3">
        <v>0</v>
      </c>
      <c r="M432" s="3">
        <v>0</v>
      </c>
      <c r="N432" s="3">
        <v>9742192</v>
      </c>
      <c r="O432" s="3">
        <v>0</v>
      </c>
      <c r="P432" s="3">
        <v>9742192</v>
      </c>
    </row>
    <row r="433" spans="1:16" s="3" customFormat="1">
      <c r="A433" s="3" t="s">
        <v>455</v>
      </c>
      <c r="B433" s="4">
        <v>9</v>
      </c>
      <c r="C433" s="3" t="s">
        <v>37</v>
      </c>
      <c r="D433" s="3" t="s">
        <v>38</v>
      </c>
      <c r="E433" s="3">
        <f>+IFERROR(VLOOKUP(A433,TB!$A$12:$C$403,2,),0)</f>
        <v>27000</v>
      </c>
      <c r="G433" s="3">
        <f t="shared" si="34"/>
        <v>27000</v>
      </c>
      <c r="H433" s="3">
        <f>+IFERROR(VLOOKUP(A433,TB!$A$12:$C$403,3,),0)</f>
        <v>0</v>
      </c>
      <c r="J433" s="3">
        <f t="shared" si="35"/>
        <v>0</v>
      </c>
      <c r="K433" s="3">
        <v>53000</v>
      </c>
      <c r="L433" s="3">
        <v>0</v>
      </c>
      <c r="M433" s="3">
        <v>53000</v>
      </c>
      <c r="N433" s="3">
        <v>0</v>
      </c>
      <c r="O433" s="3">
        <v>0</v>
      </c>
      <c r="P433" s="3">
        <v>0</v>
      </c>
    </row>
    <row r="434" spans="1:16" s="3" customFormat="1">
      <c r="A434" s="3" t="s">
        <v>456</v>
      </c>
      <c r="B434" s="4">
        <v>17</v>
      </c>
      <c r="C434" s="3" t="s">
        <v>10</v>
      </c>
      <c r="D434" s="3" t="s">
        <v>10</v>
      </c>
      <c r="E434" s="3">
        <f>+IFERROR(VLOOKUP(A434,TB!$A$12:$C$403,2,),0)</f>
        <v>0</v>
      </c>
      <c r="G434" s="3">
        <f t="shared" si="34"/>
        <v>0</v>
      </c>
      <c r="H434" s="3">
        <f>+IFERROR(VLOOKUP(A434,TB!$A$12:$C$403,3,),0)</f>
        <v>313013</v>
      </c>
      <c r="J434" s="3">
        <f t="shared" si="35"/>
        <v>313013</v>
      </c>
      <c r="K434" s="3">
        <v>0</v>
      </c>
      <c r="L434" s="3">
        <v>0</v>
      </c>
      <c r="M434" s="3">
        <v>0</v>
      </c>
      <c r="N434" s="3">
        <v>82682</v>
      </c>
      <c r="O434" s="3">
        <v>0</v>
      </c>
      <c r="P434" s="3">
        <v>82682</v>
      </c>
    </row>
    <row r="435" spans="1:16" s="3" customFormat="1">
      <c r="A435" s="3" t="s">
        <v>457</v>
      </c>
      <c r="B435" s="4">
        <v>17</v>
      </c>
      <c r="C435" s="3" t="s">
        <v>10</v>
      </c>
      <c r="D435" s="3" t="s">
        <v>10</v>
      </c>
      <c r="E435" s="3">
        <f>+IFERROR(VLOOKUP(A435,TB!$A$12:$C$403,2,),0)</f>
        <v>0</v>
      </c>
      <c r="G435" s="3">
        <f t="shared" si="34"/>
        <v>0</v>
      </c>
      <c r="H435" s="3">
        <f>+IFERROR(VLOOKUP(A435,TB!$A$12:$C$403,3,),0)</f>
        <v>0</v>
      </c>
      <c r="J435" s="3">
        <f t="shared" si="35"/>
        <v>0</v>
      </c>
      <c r="K435" s="3">
        <v>0</v>
      </c>
      <c r="L435" s="3">
        <v>0</v>
      </c>
      <c r="M435" s="3">
        <v>0</v>
      </c>
      <c r="N435" s="3">
        <v>270000</v>
      </c>
      <c r="O435" s="3">
        <v>0</v>
      </c>
      <c r="P435" s="3">
        <v>270000</v>
      </c>
    </row>
    <row r="436" spans="1:16" s="3" customFormat="1">
      <c r="A436" s="3" t="s">
        <v>458</v>
      </c>
      <c r="B436" s="4">
        <v>17</v>
      </c>
      <c r="C436" s="3" t="s">
        <v>10</v>
      </c>
      <c r="D436" s="3" t="s">
        <v>11</v>
      </c>
      <c r="E436" s="3">
        <f>+IFERROR(VLOOKUP(A436,TB!$A$12:$C$403,2,),0)</f>
        <v>0</v>
      </c>
      <c r="G436" s="3">
        <f t="shared" si="34"/>
        <v>0</v>
      </c>
      <c r="H436" s="3">
        <f>+IFERROR(VLOOKUP(A436,TB!$A$12:$C$403,3,),0)</f>
        <v>0</v>
      </c>
      <c r="J436" s="3">
        <f t="shared" si="35"/>
        <v>0</v>
      </c>
      <c r="K436" s="3">
        <v>0</v>
      </c>
      <c r="L436" s="3">
        <v>0</v>
      </c>
      <c r="M436" s="3">
        <v>0</v>
      </c>
      <c r="N436" s="3">
        <v>52156</v>
      </c>
      <c r="O436" s="3">
        <v>0</v>
      </c>
      <c r="P436" s="3">
        <v>52156</v>
      </c>
    </row>
    <row r="437" spans="1:16" s="3" customFormat="1">
      <c r="A437" s="3" t="s">
        <v>459</v>
      </c>
      <c r="B437" s="4">
        <v>9</v>
      </c>
      <c r="C437" s="3" t="s">
        <v>37</v>
      </c>
      <c r="D437" s="3" t="s">
        <v>38</v>
      </c>
      <c r="E437" s="3">
        <f>+IFERROR(VLOOKUP(A437,TB!$A$12:$C$403,2,),0)</f>
        <v>0</v>
      </c>
      <c r="G437" s="3">
        <f t="shared" ref="G437:G479" si="42">+E437+F437</f>
        <v>0</v>
      </c>
      <c r="H437" s="3">
        <f>+IFERROR(VLOOKUP(A437,TB!$A$12:$C$403,3,),0)</f>
        <v>0</v>
      </c>
      <c r="J437" s="3">
        <f t="shared" ref="J437:J479" si="43">+H437+I437</f>
        <v>0</v>
      </c>
      <c r="K437" s="3">
        <v>8000</v>
      </c>
      <c r="L437" s="3">
        <v>0</v>
      </c>
      <c r="M437" s="3">
        <v>8000</v>
      </c>
      <c r="N437" s="3">
        <v>0</v>
      </c>
      <c r="O437" s="3">
        <v>0</v>
      </c>
      <c r="P437" s="3">
        <v>0</v>
      </c>
    </row>
    <row r="438" spans="1:16" s="3" customFormat="1">
      <c r="A438" s="3" t="s">
        <v>460</v>
      </c>
      <c r="B438" s="4">
        <v>2</v>
      </c>
      <c r="C438" s="3" t="s">
        <v>82</v>
      </c>
      <c r="D438" s="3" t="s">
        <v>461</v>
      </c>
      <c r="E438" s="3">
        <f>+IFERROR(VLOOKUP(A438,TB!$A$12:$C$403,2,),0)</f>
        <v>1374004</v>
      </c>
      <c r="G438" s="3">
        <f t="shared" si="42"/>
        <v>1374004</v>
      </c>
      <c r="H438" s="3">
        <f>+IFERROR(VLOOKUP(A438,TB!$A$12:$C$403,3,),0)</f>
        <v>0</v>
      </c>
      <c r="J438" s="3">
        <f t="shared" si="43"/>
        <v>0</v>
      </c>
      <c r="K438" s="3">
        <v>711000</v>
      </c>
      <c r="L438" s="3">
        <v>0</v>
      </c>
      <c r="M438" s="3">
        <v>711000</v>
      </c>
      <c r="N438" s="3">
        <v>0</v>
      </c>
      <c r="O438" s="3">
        <v>0</v>
      </c>
      <c r="P438" s="3">
        <v>0</v>
      </c>
    </row>
    <row r="439" spans="1:16" s="3" customFormat="1">
      <c r="A439" s="3" t="s">
        <v>2386</v>
      </c>
      <c r="B439" s="4">
        <v>2</v>
      </c>
      <c r="C439" s="3" t="s">
        <v>82</v>
      </c>
      <c r="D439" s="3" t="s">
        <v>461</v>
      </c>
      <c r="E439" s="3">
        <f>+IFERROR(VLOOKUP(A439,TB!$A$12:$C$403,2,),0)</f>
        <v>0</v>
      </c>
      <c r="G439" s="3">
        <f t="shared" ref="G439" si="44">+E439+F439</f>
        <v>0</v>
      </c>
      <c r="H439" s="3">
        <f>+IFERROR(VLOOKUP(A439,TB!$A$12:$C$403,3,),0)</f>
        <v>0</v>
      </c>
      <c r="J439" s="3">
        <f t="shared" ref="J439" si="45">+H439+I439</f>
        <v>0</v>
      </c>
    </row>
    <row r="440" spans="1:16" s="3" customFormat="1">
      <c r="A440" s="3" t="s">
        <v>462</v>
      </c>
      <c r="B440" s="4">
        <v>2</v>
      </c>
      <c r="C440" s="3" t="s">
        <v>82</v>
      </c>
      <c r="D440" s="3" t="s">
        <v>461</v>
      </c>
      <c r="E440" s="3">
        <f>+IFERROR(VLOOKUP(A440,TB!$A$12:$C$403,2,),0)</f>
        <v>198800</v>
      </c>
      <c r="G440" s="3">
        <f t="shared" si="42"/>
        <v>198800</v>
      </c>
      <c r="H440" s="3">
        <f>+IFERROR(VLOOKUP(A440,TB!$A$12:$C$403,3,),0)</f>
        <v>0</v>
      </c>
      <c r="J440" s="3">
        <f t="shared" si="43"/>
        <v>0</v>
      </c>
      <c r="K440" s="3">
        <v>153050</v>
      </c>
      <c r="L440" s="3">
        <v>0</v>
      </c>
      <c r="M440" s="3">
        <v>153050</v>
      </c>
      <c r="N440" s="3">
        <v>0</v>
      </c>
      <c r="O440" s="3">
        <v>0</v>
      </c>
      <c r="P440" s="3">
        <v>0</v>
      </c>
    </row>
    <row r="441" spans="1:16" s="3" customFormat="1">
      <c r="A441" s="3" t="s">
        <v>463</v>
      </c>
      <c r="B441" s="4">
        <v>2</v>
      </c>
      <c r="C441" s="3" t="s">
        <v>82</v>
      </c>
      <c r="D441" s="3" t="s">
        <v>461</v>
      </c>
      <c r="E441" s="3">
        <f>+IFERROR(VLOOKUP(A441,TB!$A$12:$C$403,2,),0)</f>
        <v>9930454</v>
      </c>
      <c r="G441" s="3">
        <f t="shared" si="42"/>
        <v>9930454</v>
      </c>
      <c r="H441" s="3">
        <f>+IFERROR(VLOOKUP(A441,TB!$A$12:$C$403,3,),0)</f>
        <v>0</v>
      </c>
      <c r="J441" s="3">
        <f t="shared" si="43"/>
        <v>0</v>
      </c>
      <c r="K441" s="3">
        <v>2070258</v>
      </c>
      <c r="L441" s="3">
        <v>0</v>
      </c>
      <c r="M441" s="3">
        <v>2070258</v>
      </c>
      <c r="N441" s="3">
        <v>0</v>
      </c>
      <c r="O441" s="3">
        <v>0</v>
      </c>
      <c r="P441" s="3">
        <v>0</v>
      </c>
    </row>
    <row r="442" spans="1:16" s="3" customFormat="1">
      <c r="A442" s="3" t="s">
        <v>464</v>
      </c>
      <c r="B442" s="4">
        <v>2</v>
      </c>
      <c r="C442" s="3" t="s">
        <v>82</v>
      </c>
      <c r="D442" s="3" t="s">
        <v>461</v>
      </c>
      <c r="E442" s="3">
        <f>+IFERROR(VLOOKUP(A442,TB!$A$12:$C$403,2,),0)</f>
        <v>491595</v>
      </c>
      <c r="G442" s="3">
        <f t="shared" si="42"/>
        <v>491595</v>
      </c>
      <c r="H442" s="3">
        <f>+IFERROR(VLOOKUP(A442,TB!$A$12:$C$403,3,),0)</f>
        <v>0</v>
      </c>
      <c r="J442" s="3">
        <f t="shared" si="43"/>
        <v>0</v>
      </c>
      <c r="K442" s="3">
        <v>27003</v>
      </c>
      <c r="L442" s="3">
        <v>0</v>
      </c>
      <c r="M442" s="3">
        <v>27003</v>
      </c>
      <c r="N442" s="3">
        <v>0</v>
      </c>
      <c r="O442" s="3">
        <v>0</v>
      </c>
      <c r="P442" s="3">
        <v>0</v>
      </c>
    </row>
    <row r="443" spans="1:16" s="3" customFormat="1">
      <c r="A443" s="3" t="s">
        <v>465</v>
      </c>
      <c r="B443" s="4">
        <v>27</v>
      </c>
      <c r="C443" s="3" t="s">
        <v>77</v>
      </c>
      <c r="D443" s="3" t="s">
        <v>107</v>
      </c>
      <c r="E443" s="3">
        <f>+IFERROR(VLOOKUP(A443,TB!$A$12:$C$403,2,),0)</f>
        <v>52365641</v>
      </c>
      <c r="G443" s="3">
        <f t="shared" si="42"/>
        <v>52365641</v>
      </c>
      <c r="H443" s="3">
        <f>+IFERROR(VLOOKUP(A443,TB!$A$12:$C$403,3,),0)</f>
        <v>0</v>
      </c>
      <c r="J443" s="3">
        <f t="shared" si="43"/>
        <v>0</v>
      </c>
      <c r="K443" s="3">
        <v>17458745</v>
      </c>
      <c r="L443" s="3">
        <v>0</v>
      </c>
      <c r="M443" s="3">
        <v>17458745</v>
      </c>
      <c r="N443" s="3">
        <v>0</v>
      </c>
      <c r="O443" s="3">
        <v>0</v>
      </c>
      <c r="P443" s="3">
        <v>0</v>
      </c>
    </row>
    <row r="444" spans="1:16" s="3" customFormat="1">
      <c r="A444" s="3" t="s">
        <v>466</v>
      </c>
      <c r="B444" s="4">
        <v>9</v>
      </c>
      <c r="C444" s="3" t="s">
        <v>37</v>
      </c>
      <c r="D444" s="3" t="s">
        <v>38</v>
      </c>
      <c r="E444" s="3">
        <f>+IFERROR(VLOOKUP(A444,TB!$A$12:$C$403,2,),0)</f>
        <v>0</v>
      </c>
      <c r="G444" s="3">
        <f t="shared" si="42"/>
        <v>0</v>
      </c>
      <c r="H444" s="3">
        <f>+IFERROR(VLOOKUP(A444,TB!$A$12:$C$403,3,),0)</f>
        <v>0</v>
      </c>
      <c r="J444" s="3">
        <f t="shared" si="43"/>
        <v>0</v>
      </c>
      <c r="K444" s="3">
        <v>4000</v>
      </c>
      <c r="L444" s="3">
        <v>0</v>
      </c>
      <c r="M444" s="3">
        <v>4000</v>
      </c>
      <c r="N444" s="3">
        <v>0</v>
      </c>
      <c r="O444" s="3">
        <v>0</v>
      </c>
      <c r="P444" s="3">
        <v>0</v>
      </c>
    </row>
    <row r="445" spans="1:16" s="3" customFormat="1">
      <c r="A445" s="3" t="s">
        <v>467</v>
      </c>
      <c r="B445" s="4">
        <v>10</v>
      </c>
      <c r="C445" s="3" t="s">
        <v>34</v>
      </c>
      <c r="D445" s="3" t="s">
        <v>468</v>
      </c>
      <c r="E445" s="3">
        <f>+IFERROR(VLOOKUP(A445,TB!$A$12:$C$403,2,),0)</f>
        <v>221984</v>
      </c>
      <c r="G445" s="3">
        <f t="shared" si="42"/>
        <v>221984</v>
      </c>
      <c r="H445" s="3">
        <f>+IFERROR(VLOOKUP(A445,TB!$A$12:$C$403,3,),0)</f>
        <v>0</v>
      </c>
      <c r="J445" s="3">
        <f t="shared" si="43"/>
        <v>0</v>
      </c>
      <c r="K445" s="3">
        <v>413262</v>
      </c>
      <c r="L445" s="3">
        <v>0</v>
      </c>
      <c r="M445" s="3">
        <v>413262</v>
      </c>
      <c r="N445" s="3">
        <v>0</v>
      </c>
      <c r="O445" s="3">
        <v>0</v>
      </c>
      <c r="P445" s="3">
        <v>0</v>
      </c>
    </row>
    <row r="446" spans="1:16" s="3" customFormat="1">
      <c r="A446" s="3" t="s">
        <v>469</v>
      </c>
      <c r="B446" s="4">
        <v>6</v>
      </c>
      <c r="C446" s="3" t="s">
        <v>15</v>
      </c>
      <c r="D446" s="3" t="s">
        <v>16</v>
      </c>
      <c r="E446" s="3">
        <f>+IFERROR(VLOOKUP(A446,TB!$A$12:$C$403,2,),0)</f>
        <v>28916252</v>
      </c>
      <c r="G446" s="3">
        <f t="shared" si="42"/>
        <v>28916252</v>
      </c>
      <c r="H446" s="3">
        <f>+IFERROR(VLOOKUP(A446,TB!$A$12:$C$403,3,),0)</f>
        <v>0</v>
      </c>
      <c r="J446" s="3">
        <f t="shared" si="43"/>
        <v>0</v>
      </c>
      <c r="K446" s="3">
        <v>4622711</v>
      </c>
      <c r="L446" s="3">
        <v>0</v>
      </c>
      <c r="M446" s="3">
        <v>4622711</v>
      </c>
      <c r="N446" s="3">
        <v>0</v>
      </c>
      <c r="O446" s="3">
        <v>0</v>
      </c>
      <c r="P446" s="3">
        <v>0</v>
      </c>
    </row>
    <row r="447" spans="1:16" s="3" customFormat="1">
      <c r="A447" s="3" t="s">
        <v>2764</v>
      </c>
      <c r="B447" s="4">
        <v>6</v>
      </c>
      <c r="C447" s="3" t="s">
        <v>15</v>
      </c>
      <c r="D447" s="3" t="s">
        <v>16</v>
      </c>
      <c r="E447" s="3">
        <f>+IFERROR(VLOOKUP(A447,TB!$A$12:$C$403,2,),0)</f>
        <v>0</v>
      </c>
      <c r="G447" s="3">
        <f t="shared" si="42"/>
        <v>0</v>
      </c>
      <c r="H447" s="3">
        <f>+IFERROR(VLOOKUP(A447,TB!$A$12:$C$403,3,),0)</f>
        <v>7528</v>
      </c>
      <c r="J447" s="3">
        <f t="shared" si="43"/>
        <v>7528</v>
      </c>
      <c r="K447" s="3">
        <v>0</v>
      </c>
      <c r="L447" s="3">
        <v>0</v>
      </c>
      <c r="M447" s="3">
        <v>0</v>
      </c>
      <c r="N447" s="3">
        <v>0</v>
      </c>
      <c r="O447" s="3">
        <v>0</v>
      </c>
      <c r="P447" s="3">
        <v>0</v>
      </c>
    </row>
    <row r="448" spans="1:16" s="3" customFormat="1">
      <c r="A448" s="3" t="s">
        <v>470</v>
      </c>
      <c r="B448" s="4">
        <v>9</v>
      </c>
      <c r="C448" s="3" t="s">
        <v>37</v>
      </c>
      <c r="D448" s="3" t="s">
        <v>38</v>
      </c>
      <c r="E448" s="3">
        <f>+IFERROR(VLOOKUP(A448,TB!$A$12:$C$403,2,),0)</f>
        <v>0</v>
      </c>
      <c r="G448" s="3">
        <f t="shared" si="42"/>
        <v>0</v>
      </c>
      <c r="H448" s="3">
        <f>+IFERROR(VLOOKUP(A448,TB!$A$12:$C$403,3,),0)</f>
        <v>0</v>
      </c>
      <c r="J448" s="3">
        <f t="shared" si="43"/>
        <v>0</v>
      </c>
      <c r="K448" s="3">
        <v>14000</v>
      </c>
      <c r="L448" s="3">
        <v>0</v>
      </c>
      <c r="M448" s="3">
        <v>14000</v>
      </c>
      <c r="N448" s="3">
        <v>0</v>
      </c>
      <c r="O448" s="3">
        <v>0</v>
      </c>
      <c r="P448" s="3">
        <v>0</v>
      </c>
    </row>
    <row r="449" spans="1:16" s="3" customFormat="1">
      <c r="A449" s="3" t="s">
        <v>471</v>
      </c>
      <c r="B449" s="4">
        <v>13</v>
      </c>
      <c r="C449" s="3" t="s">
        <v>47</v>
      </c>
      <c r="D449" s="3" t="s">
        <v>364</v>
      </c>
      <c r="E449" s="3">
        <f>+IFERROR(VLOOKUP(A449,TB!$A$12:$C$403,2,),0)</f>
        <v>0</v>
      </c>
      <c r="G449" s="3">
        <f t="shared" si="42"/>
        <v>0</v>
      </c>
      <c r="H449" s="3">
        <f>+IFERROR(VLOOKUP(A449,TB!$A$12:$C$403,3,),0)</f>
        <v>7221052.2300000004</v>
      </c>
      <c r="J449" s="3">
        <f t="shared" si="43"/>
        <v>7221052.2300000004</v>
      </c>
      <c r="K449" s="3">
        <v>0</v>
      </c>
      <c r="L449" s="3">
        <v>0</v>
      </c>
      <c r="M449" s="3">
        <v>0</v>
      </c>
      <c r="N449" s="3">
        <v>7186632</v>
      </c>
      <c r="O449" s="3">
        <v>0</v>
      </c>
      <c r="P449" s="3">
        <v>7186632</v>
      </c>
    </row>
    <row r="450" spans="1:16" s="3" customFormat="1">
      <c r="A450" s="3" t="s">
        <v>472</v>
      </c>
      <c r="B450" s="4">
        <v>13</v>
      </c>
      <c r="C450" s="3" t="s">
        <v>47</v>
      </c>
      <c r="D450" s="3" t="s">
        <v>364</v>
      </c>
      <c r="E450" s="3">
        <f>+IFERROR(VLOOKUP(A450,TB!$A$12:$C$403,2,),0)</f>
        <v>0</v>
      </c>
      <c r="G450" s="3">
        <f t="shared" si="42"/>
        <v>0</v>
      </c>
      <c r="H450" s="3">
        <f>+IFERROR(VLOOKUP(A450,TB!$A$12:$C$403,3,),0)</f>
        <v>62630931</v>
      </c>
      <c r="J450" s="3">
        <f t="shared" si="43"/>
        <v>62630931</v>
      </c>
      <c r="K450" s="3">
        <v>0</v>
      </c>
      <c r="L450" s="3">
        <v>0</v>
      </c>
      <c r="M450" s="3">
        <v>0</v>
      </c>
      <c r="N450" s="3">
        <v>21743710</v>
      </c>
      <c r="O450" s="3">
        <v>0</v>
      </c>
      <c r="P450" s="3">
        <v>21743710</v>
      </c>
    </row>
    <row r="451" spans="1:16" s="3" customFormat="1">
      <c r="A451" s="3" t="s">
        <v>473</v>
      </c>
      <c r="B451" s="4">
        <v>17</v>
      </c>
      <c r="C451" s="3" t="s">
        <v>10</v>
      </c>
      <c r="D451" s="3" t="s">
        <v>10</v>
      </c>
      <c r="E451" s="3">
        <f>+IFERROR(VLOOKUP(A451,TB!$A$12:$C$403,2,),0)</f>
        <v>0</v>
      </c>
      <c r="G451" s="3">
        <f t="shared" si="42"/>
        <v>0</v>
      </c>
      <c r="H451" s="3">
        <f>+IFERROR(VLOOKUP(A451,TB!$A$12:$C$403,3,),0)</f>
        <v>632079</v>
      </c>
      <c r="J451" s="3">
        <f t="shared" si="43"/>
        <v>632079</v>
      </c>
      <c r="K451" s="3">
        <v>0</v>
      </c>
      <c r="L451" s="3">
        <v>0</v>
      </c>
      <c r="M451" s="3">
        <v>0</v>
      </c>
      <c r="N451" s="3">
        <v>429511</v>
      </c>
      <c r="O451" s="3">
        <v>0</v>
      </c>
      <c r="P451" s="3">
        <v>429511</v>
      </c>
    </row>
    <row r="452" spans="1:16" s="3" customFormat="1">
      <c r="A452" s="3" t="s">
        <v>474</v>
      </c>
      <c r="B452" s="4">
        <v>19</v>
      </c>
      <c r="C452" s="3" t="s">
        <v>57</v>
      </c>
      <c r="D452" s="3" t="s">
        <v>96</v>
      </c>
      <c r="E452" s="3">
        <f>+IFERROR(VLOOKUP(A452,TB!$A$12:$C$403,2,),0)</f>
        <v>0</v>
      </c>
      <c r="G452" s="3">
        <f t="shared" si="42"/>
        <v>0</v>
      </c>
      <c r="H452" s="3">
        <f>+IFERROR(VLOOKUP(A452,TB!$A$12:$C$403,3,),0)</f>
        <v>0</v>
      </c>
      <c r="J452" s="3">
        <f t="shared" si="43"/>
        <v>0</v>
      </c>
      <c r="K452" s="3">
        <v>0</v>
      </c>
      <c r="L452" s="3">
        <v>0</v>
      </c>
      <c r="M452" s="3">
        <v>0</v>
      </c>
      <c r="N452" s="3">
        <v>2903011.08</v>
      </c>
      <c r="O452" s="3">
        <v>0</v>
      </c>
      <c r="P452" s="3">
        <v>2903011.08</v>
      </c>
    </row>
    <row r="453" spans="1:16" s="3" customFormat="1">
      <c r="A453" s="3" t="s">
        <v>475</v>
      </c>
      <c r="B453" s="4">
        <v>17</v>
      </c>
      <c r="C453" s="3" t="s">
        <v>10</v>
      </c>
      <c r="D453" s="3" t="s">
        <v>10</v>
      </c>
      <c r="E453" s="3">
        <f>+IFERROR(VLOOKUP(A453,TB!$A$12:$C$403,2,),0)</f>
        <v>0</v>
      </c>
      <c r="G453" s="3">
        <f t="shared" si="42"/>
        <v>0</v>
      </c>
      <c r="H453" s="3">
        <f>+IFERROR(VLOOKUP(A453,TB!$A$12:$C$403,3,),0)</f>
        <v>0</v>
      </c>
      <c r="J453" s="3">
        <f t="shared" si="43"/>
        <v>0</v>
      </c>
      <c r="K453" s="3">
        <v>0</v>
      </c>
      <c r="L453" s="3">
        <v>0</v>
      </c>
      <c r="M453" s="3">
        <v>0</v>
      </c>
      <c r="N453" s="3">
        <v>36998</v>
      </c>
      <c r="O453" s="3">
        <v>0</v>
      </c>
      <c r="P453" s="3">
        <v>36998</v>
      </c>
    </row>
    <row r="454" spans="1:16" s="3" customFormat="1">
      <c r="A454" s="3" t="s">
        <v>476</v>
      </c>
      <c r="B454" s="4">
        <v>6</v>
      </c>
      <c r="C454" s="3" t="s">
        <v>15</v>
      </c>
      <c r="D454" s="3" t="s">
        <v>16</v>
      </c>
      <c r="E454" s="3">
        <f>+IFERROR(VLOOKUP(A454,TB!$A$12:$C$403,2,),0)</f>
        <v>0</v>
      </c>
      <c r="G454" s="3">
        <f t="shared" si="42"/>
        <v>0</v>
      </c>
      <c r="H454" s="3">
        <f>+IFERROR(VLOOKUP(A454,TB!$A$12:$C$403,3,),0)</f>
        <v>0</v>
      </c>
      <c r="J454" s="3">
        <f t="shared" si="43"/>
        <v>0</v>
      </c>
      <c r="K454" s="3">
        <v>1005946</v>
      </c>
      <c r="L454" s="3">
        <v>0</v>
      </c>
      <c r="M454" s="3">
        <v>1005946</v>
      </c>
      <c r="N454" s="3">
        <v>0</v>
      </c>
      <c r="O454" s="3">
        <v>0</v>
      </c>
      <c r="P454" s="3">
        <v>0</v>
      </c>
    </row>
    <row r="455" spans="1:16" s="3" customFormat="1">
      <c r="A455" s="3" t="s">
        <v>477</v>
      </c>
      <c r="B455" s="4">
        <v>4</v>
      </c>
      <c r="C455" s="3" t="s">
        <v>24</v>
      </c>
      <c r="D455" s="3" t="s">
        <v>25</v>
      </c>
      <c r="E455" s="3">
        <f>+IFERROR(VLOOKUP(A455,TB!$A$12:$C$403,2,),0)</f>
        <v>0</v>
      </c>
      <c r="G455" s="3">
        <f t="shared" si="42"/>
        <v>0</v>
      </c>
      <c r="H455" s="3">
        <f>+IFERROR(VLOOKUP(A455,TB!$A$12:$C$403,3,),0)</f>
        <v>0</v>
      </c>
      <c r="J455" s="3">
        <f t="shared" si="43"/>
        <v>0</v>
      </c>
      <c r="K455" s="3">
        <v>2100000</v>
      </c>
      <c r="L455" s="3">
        <v>0</v>
      </c>
      <c r="M455" s="3">
        <v>2100000</v>
      </c>
      <c r="N455" s="3">
        <v>0</v>
      </c>
      <c r="O455" s="3">
        <v>0</v>
      </c>
      <c r="P455" s="3">
        <v>0</v>
      </c>
    </row>
    <row r="456" spans="1:16" s="3" customFormat="1">
      <c r="A456" s="3" t="s">
        <v>478</v>
      </c>
      <c r="B456" s="4">
        <v>27</v>
      </c>
      <c r="C456" s="3" t="s">
        <v>51</v>
      </c>
      <c r="D456" s="3" t="s">
        <v>111</v>
      </c>
      <c r="E456" s="3">
        <f>+IFERROR(VLOOKUP(A456,TB!$A$12:$C$403,2,),0)</f>
        <v>6640</v>
      </c>
      <c r="G456" s="3">
        <f t="shared" si="42"/>
        <v>6640</v>
      </c>
      <c r="H456" s="3">
        <f>+IFERROR(VLOOKUP(A456,TB!$A$12:$C$403,3,),0)</f>
        <v>0</v>
      </c>
      <c r="J456" s="3">
        <f t="shared" si="43"/>
        <v>0</v>
      </c>
      <c r="K456" s="3">
        <v>14890</v>
      </c>
      <c r="L456" s="3">
        <v>0</v>
      </c>
      <c r="M456" s="3">
        <v>14890</v>
      </c>
      <c r="N456" s="3">
        <v>0</v>
      </c>
      <c r="O456" s="3">
        <v>0</v>
      </c>
      <c r="P456" s="3">
        <v>0</v>
      </c>
    </row>
    <row r="457" spans="1:16" s="3" customFormat="1">
      <c r="A457" s="3" t="s">
        <v>479</v>
      </c>
      <c r="B457" s="4">
        <v>9</v>
      </c>
      <c r="C457" s="3" t="s">
        <v>37</v>
      </c>
      <c r="D457" s="3" t="s">
        <v>38</v>
      </c>
      <c r="E457" s="3">
        <f>+IFERROR(VLOOKUP(A457,TB!$A$12:$C$403,2,),0)</f>
        <v>0</v>
      </c>
      <c r="G457" s="3">
        <f t="shared" si="42"/>
        <v>0</v>
      </c>
      <c r="H457" s="3">
        <f>+IFERROR(VLOOKUP(A457,TB!$A$12:$C$403,3,),0)</f>
        <v>0</v>
      </c>
      <c r="J457" s="3">
        <f t="shared" si="43"/>
        <v>0</v>
      </c>
      <c r="K457" s="3">
        <v>5000</v>
      </c>
      <c r="L457" s="3">
        <v>0</v>
      </c>
      <c r="M457" s="3">
        <v>5000</v>
      </c>
      <c r="N457" s="3">
        <v>0</v>
      </c>
      <c r="O457" s="3">
        <v>0</v>
      </c>
      <c r="P457" s="3">
        <v>0</v>
      </c>
    </row>
    <row r="458" spans="1:16" s="3" customFormat="1">
      <c r="A458" s="3" t="s">
        <v>480</v>
      </c>
      <c r="B458" s="4">
        <v>9</v>
      </c>
      <c r="C458" s="3" t="s">
        <v>37</v>
      </c>
      <c r="D458" s="3" t="s">
        <v>38</v>
      </c>
      <c r="E458" s="3">
        <f>+IFERROR(VLOOKUP(A458,TB!$A$12:$C$403,2,),0)</f>
        <v>0</v>
      </c>
      <c r="G458" s="3">
        <f t="shared" si="42"/>
        <v>0</v>
      </c>
      <c r="H458" s="3">
        <f>+IFERROR(VLOOKUP(A458,TB!$A$12:$C$403,3,),0)</f>
        <v>0</v>
      </c>
      <c r="J458" s="3">
        <f t="shared" si="43"/>
        <v>0</v>
      </c>
      <c r="K458" s="3">
        <v>1000</v>
      </c>
      <c r="L458" s="3">
        <v>0</v>
      </c>
      <c r="M458" s="3">
        <v>1000</v>
      </c>
      <c r="N458" s="3">
        <v>0</v>
      </c>
      <c r="O458" s="3">
        <v>0</v>
      </c>
      <c r="P458" s="3">
        <v>0</v>
      </c>
    </row>
    <row r="459" spans="1:16" s="3" customFormat="1">
      <c r="A459" s="3" t="s">
        <v>481</v>
      </c>
      <c r="B459" s="4">
        <v>11</v>
      </c>
      <c r="C459" s="3" t="s">
        <v>27</v>
      </c>
      <c r="D459" s="3" t="s">
        <v>28</v>
      </c>
      <c r="E459" s="3">
        <f>+IFERROR(VLOOKUP(A459,TB!$A$12:$C$403,2,),0)</f>
        <v>0</v>
      </c>
      <c r="G459" s="3">
        <f t="shared" si="42"/>
        <v>0</v>
      </c>
      <c r="H459" s="3">
        <f>+IFERROR(VLOOKUP(A459,TB!$A$12:$C$403,3,),0)</f>
        <v>0</v>
      </c>
      <c r="J459" s="3">
        <f t="shared" si="43"/>
        <v>0</v>
      </c>
      <c r="K459" s="3">
        <v>81429.8</v>
      </c>
      <c r="L459" s="3">
        <v>0</v>
      </c>
      <c r="M459" s="3">
        <v>81429.8</v>
      </c>
      <c r="N459" s="3">
        <v>0</v>
      </c>
      <c r="O459" s="3">
        <v>0</v>
      </c>
      <c r="P459" s="3">
        <v>0</v>
      </c>
    </row>
    <row r="460" spans="1:16" s="3" customFormat="1">
      <c r="A460" s="3" t="s">
        <v>482</v>
      </c>
      <c r="B460" s="4">
        <v>11</v>
      </c>
      <c r="C460" s="3" t="s">
        <v>27</v>
      </c>
      <c r="D460" s="3" t="s">
        <v>28</v>
      </c>
      <c r="E460" s="3">
        <f>+IFERROR(VLOOKUP(A460,TB!$A$12:$C$403,2,),0)</f>
        <v>24886</v>
      </c>
      <c r="G460" s="3">
        <f t="shared" si="42"/>
        <v>24886</v>
      </c>
      <c r="H460" s="3">
        <f>+IFERROR(VLOOKUP(A460,TB!$A$12:$C$403,3,),0)</f>
        <v>0</v>
      </c>
      <c r="J460" s="3">
        <f t="shared" si="43"/>
        <v>0</v>
      </c>
      <c r="K460" s="3">
        <v>36262</v>
      </c>
      <c r="L460" s="3">
        <v>0</v>
      </c>
      <c r="M460" s="3">
        <v>36262</v>
      </c>
      <c r="N460" s="3">
        <v>0</v>
      </c>
      <c r="O460" s="3">
        <v>0</v>
      </c>
      <c r="P460" s="3">
        <v>0</v>
      </c>
    </row>
    <row r="461" spans="1:16" s="3" customFormat="1">
      <c r="A461" s="3" t="s">
        <v>483</v>
      </c>
      <c r="B461" s="4">
        <v>19</v>
      </c>
      <c r="C461" s="3" t="s">
        <v>57</v>
      </c>
      <c r="D461" s="3" t="s">
        <v>114</v>
      </c>
      <c r="E461" s="3">
        <f>+IFERROR(VLOOKUP(A461,TB!$A$12:$C$403,2,),0)</f>
        <v>0</v>
      </c>
      <c r="G461" s="3">
        <f t="shared" si="42"/>
        <v>0</v>
      </c>
      <c r="H461" s="3">
        <f>+IFERROR(VLOOKUP(A461,TB!$A$12:$C$403,3,),0)</f>
        <v>49527</v>
      </c>
      <c r="J461" s="3">
        <f t="shared" si="43"/>
        <v>49527</v>
      </c>
      <c r="K461" s="3">
        <v>0</v>
      </c>
      <c r="L461" s="3">
        <v>0</v>
      </c>
      <c r="M461" s="3">
        <v>0</v>
      </c>
      <c r="N461" s="3">
        <v>91593</v>
      </c>
      <c r="O461" s="3">
        <v>0</v>
      </c>
      <c r="P461" s="3">
        <v>91593</v>
      </c>
    </row>
    <row r="462" spans="1:16" s="3" customFormat="1">
      <c r="A462" s="3" t="s">
        <v>484</v>
      </c>
      <c r="B462" s="4">
        <v>11</v>
      </c>
      <c r="C462" s="3" t="s">
        <v>27</v>
      </c>
      <c r="D462" s="3" t="s">
        <v>28</v>
      </c>
      <c r="E462" s="3">
        <f>+IFERROR(VLOOKUP(A462,TB!$A$12:$C$403,2,),0)</f>
        <v>0</v>
      </c>
      <c r="G462" s="3">
        <f t="shared" si="42"/>
        <v>0</v>
      </c>
      <c r="H462" s="3">
        <f>+IFERROR(VLOOKUP(A462,TB!$A$12:$C$403,3,),0)</f>
        <v>0</v>
      </c>
      <c r="J462" s="3">
        <f t="shared" si="43"/>
        <v>0</v>
      </c>
      <c r="K462" s="3">
        <v>616388</v>
      </c>
      <c r="L462" s="3">
        <v>0</v>
      </c>
      <c r="M462" s="3">
        <v>616388</v>
      </c>
      <c r="N462" s="3">
        <v>0</v>
      </c>
      <c r="O462" s="3">
        <v>0</v>
      </c>
      <c r="P462" s="3">
        <v>0</v>
      </c>
    </row>
    <row r="463" spans="1:16" s="3" customFormat="1">
      <c r="A463" s="3" t="s">
        <v>485</v>
      </c>
      <c r="B463" s="4">
        <v>17</v>
      </c>
      <c r="C463" s="3" t="s">
        <v>10</v>
      </c>
      <c r="D463" s="3" t="s">
        <v>10</v>
      </c>
      <c r="E463" s="3">
        <f>+IFERROR(VLOOKUP(A463,TB!$A$12:$C$403,2,),0)</f>
        <v>0</v>
      </c>
      <c r="G463" s="3">
        <f t="shared" si="42"/>
        <v>0</v>
      </c>
      <c r="H463" s="3">
        <f>+IFERROR(VLOOKUP(A463,TB!$A$12:$C$403,3,),0)</f>
        <v>163013</v>
      </c>
      <c r="J463" s="3">
        <f t="shared" si="43"/>
        <v>163013</v>
      </c>
      <c r="K463" s="3">
        <v>0</v>
      </c>
      <c r="L463" s="3">
        <v>0</v>
      </c>
      <c r="M463" s="3">
        <v>0</v>
      </c>
      <c r="N463" s="3">
        <v>1659637</v>
      </c>
      <c r="O463" s="3">
        <v>0</v>
      </c>
      <c r="P463" s="3">
        <v>1659637</v>
      </c>
    </row>
    <row r="464" spans="1:16" s="3" customFormat="1">
      <c r="A464" s="3" t="s">
        <v>486</v>
      </c>
      <c r="B464" s="4">
        <v>17</v>
      </c>
      <c r="C464" s="3" t="s">
        <v>10</v>
      </c>
      <c r="D464" s="3" t="s">
        <v>11</v>
      </c>
      <c r="E464" s="3">
        <f>+IFERROR(VLOOKUP(A464,TB!$A$12:$C$403,2,),0)</f>
        <v>0</v>
      </c>
      <c r="G464" s="3">
        <f t="shared" si="42"/>
        <v>0</v>
      </c>
      <c r="H464" s="3">
        <f>+IFERROR(VLOOKUP(A464,TB!$A$12:$C$403,3,),0)</f>
        <v>0</v>
      </c>
      <c r="J464" s="3">
        <f t="shared" si="43"/>
        <v>0</v>
      </c>
      <c r="K464" s="3">
        <v>633</v>
      </c>
      <c r="L464" s="3">
        <v>0</v>
      </c>
      <c r="M464" s="3">
        <v>633</v>
      </c>
      <c r="N464" s="3">
        <v>0</v>
      </c>
      <c r="O464" s="3">
        <v>0</v>
      </c>
      <c r="P464" s="3">
        <v>0</v>
      </c>
    </row>
    <row r="465" spans="1:16" s="3" customFormat="1">
      <c r="A465" s="3" t="s">
        <v>487</v>
      </c>
      <c r="B465" s="4">
        <v>2</v>
      </c>
      <c r="C465" s="3" t="s">
        <v>82</v>
      </c>
      <c r="D465" s="3" t="s">
        <v>461</v>
      </c>
      <c r="E465" s="3">
        <f>+IFERROR(VLOOKUP(A465,TB!$A$12:$C$403,2,),0)</f>
        <v>26642149.920000002</v>
      </c>
      <c r="G465" s="3">
        <f t="shared" si="42"/>
        <v>26642149.920000002</v>
      </c>
      <c r="H465" s="3">
        <f>+IFERROR(VLOOKUP(A465,TB!$A$12:$C$403,3,),0)</f>
        <v>0</v>
      </c>
      <c r="J465" s="3">
        <f t="shared" si="43"/>
        <v>0</v>
      </c>
      <c r="K465" s="3">
        <v>4115523</v>
      </c>
      <c r="L465" s="3">
        <v>0</v>
      </c>
      <c r="M465" s="3">
        <v>4115523</v>
      </c>
      <c r="N465" s="3">
        <v>0</v>
      </c>
      <c r="O465" s="3">
        <v>0</v>
      </c>
      <c r="P465" s="3">
        <v>0</v>
      </c>
    </row>
    <row r="466" spans="1:16" s="3" customFormat="1">
      <c r="A466" s="3" t="s">
        <v>2765</v>
      </c>
      <c r="B466" s="4">
        <v>2</v>
      </c>
      <c r="C466" s="3" t="s">
        <v>82</v>
      </c>
      <c r="D466" s="3" t="s">
        <v>461</v>
      </c>
      <c r="E466" s="3">
        <f>+IFERROR(VLOOKUP(A466,TB!$A$12:$C$403,2,),0)</f>
        <v>300000</v>
      </c>
      <c r="G466" s="3">
        <f t="shared" si="42"/>
        <v>300000</v>
      </c>
      <c r="H466" s="3">
        <f>+IFERROR(VLOOKUP(A466,TB!$A$12:$C$403,3,),0)</f>
        <v>0</v>
      </c>
      <c r="J466" s="3">
        <f t="shared" si="43"/>
        <v>0</v>
      </c>
      <c r="K466" s="3">
        <v>0</v>
      </c>
      <c r="L466" s="3">
        <v>0</v>
      </c>
      <c r="M466" s="3">
        <v>0</v>
      </c>
      <c r="N466" s="3">
        <v>0</v>
      </c>
      <c r="O466" s="3">
        <v>0</v>
      </c>
      <c r="P466" s="3">
        <v>0</v>
      </c>
    </row>
    <row r="467" spans="1:16" s="3" customFormat="1">
      <c r="A467" s="3" t="s">
        <v>488</v>
      </c>
      <c r="B467" s="4">
        <v>2</v>
      </c>
      <c r="C467" s="3" t="s">
        <v>82</v>
      </c>
      <c r="D467" s="3" t="s">
        <v>461</v>
      </c>
      <c r="E467" s="3">
        <f>+IFERROR(VLOOKUP(A467,TB!$A$12:$C$403,2,),0)</f>
        <v>17362000</v>
      </c>
      <c r="G467" s="3">
        <f t="shared" si="42"/>
        <v>17362000</v>
      </c>
      <c r="H467" s="3">
        <f>+IFERROR(VLOOKUP(A467,TB!$A$12:$C$403,3,),0)</f>
        <v>0</v>
      </c>
      <c r="J467" s="3">
        <f t="shared" si="43"/>
        <v>0</v>
      </c>
      <c r="K467" s="3">
        <v>16722713</v>
      </c>
      <c r="L467" s="3">
        <v>0</v>
      </c>
      <c r="M467" s="3">
        <v>16722713</v>
      </c>
      <c r="N467" s="3">
        <v>0</v>
      </c>
      <c r="O467" s="3">
        <v>0</v>
      </c>
      <c r="P467" s="3">
        <v>0</v>
      </c>
    </row>
    <row r="468" spans="1:16" s="3" customFormat="1">
      <c r="A468" s="3" t="s">
        <v>489</v>
      </c>
      <c r="B468" s="4">
        <v>27</v>
      </c>
      <c r="C468" s="3" t="s">
        <v>77</v>
      </c>
      <c r="D468" s="3" t="s">
        <v>288</v>
      </c>
      <c r="E468" s="3">
        <f>+IFERROR(VLOOKUP(A468,TB!$A$12:$C$403,2,),0)</f>
        <v>193000</v>
      </c>
      <c r="G468" s="3">
        <f t="shared" si="42"/>
        <v>193000</v>
      </c>
      <c r="H468" s="3">
        <f>+IFERROR(VLOOKUP(A468,TB!$A$12:$C$403,3,),0)</f>
        <v>0</v>
      </c>
      <c r="J468" s="3">
        <f t="shared" si="43"/>
        <v>0</v>
      </c>
      <c r="K468" s="3">
        <v>150000</v>
      </c>
      <c r="L468" s="3">
        <v>0</v>
      </c>
      <c r="M468" s="3">
        <v>150000</v>
      </c>
      <c r="N468" s="3">
        <v>0</v>
      </c>
      <c r="O468" s="3">
        <v>0</v>
      </c>
      <c r="P468" s="3">
        <v>0</v>
      </c>
    </row>
    <row r="469" spans="1:16" s="3" customFormat="1">
      <c r="A469" s="3" t="s">
        <v>490</v>
      </c>
      <c r="B469" s="4">
        <v>17</v>
      </c>
      <c r="C469" s="3" t="s">
        <v>10</v>
      </c>
      <c r="D469" s="3" t="s">
        <v>11</v>
      </c>
      <c r="E469" s="3">
        <f>+IFERROR(VLOOKUP(A469,TB!$A$12:$C$403,2,),0)</f>
        <v>0</v>
      </c>
      <c r="G469" s="3">
        <f t="shared" si="42"/>
        <v>0</v>
      </c>
      <c r="H469" s="3">
        <f>+IFERROR(VLOOKUP(A469,TB!$A$12:$C$403,3,),0)</f>
        <v>55080</v>
      </c>
      <c r="J469" s="3">
        <f t="shared" si="43"/>
        <v>55080</v>
      </c>
      <c r="K469" s="3">
        <v>0</v>
      </c>
      <c r="L469" s="3">
        <v>0</v>
      </c>
      <c r="M469" s="3">
        <v>0</v>
      </c>
      <c r="N469" s="3">
        <v>207360</v>
      </c>
      <c r="O469" s="3">
        <v>0</v>
      </c>
      <c r="P469" s="3">
        <v>207360</v>
      </c>
    </row>
    <row r="470" spans="1:16" s="3" customFormat="1">
      <c r="A470" s="3" t="s">
        <v>491</v>
      </c>
      <c r="B470" s="4">
        <v>17</v>
      </c>
      <c r="C470" s="3" t="s">
        <v>10</v>
      </c>
      <c r="D470" s="3" t="s">
        <v>10</v>
      </c>
      <c r="E470" s="3">
        <f>+IFERROR(VLOOKUP(A470,TB!$A$12:$C$403,2,),0)</f>
        <v>0</v>
      </c>
      <c r="G470" s="3">
        <f t="shared" si="42"/>
        <v>0</v>
      </c>
      <c r="H470" s="3">
        <f>+IFERROR(VLOOKUP(A470,TB!$A$12:$C$403,3,),0)</f>
        <v>90199</v>
      </c>
      <c r="J470" s="3">
        <f t="shared" si="43"/>
        <v>90199</v>
      </c>
      <c r="K470" s="3">
        <v>0</v>
      </c>
      <c r="L470" s="3">
        <v>0</v>
      </c>
      <c r="M470" s="3">
        <v>0</v>
      </c>
      <c r="N470" s="3">
        <v>0</v>
      </c>
      <c r="O470" s="3">
        <v>0</v>
      </c>
      <c r="P470" s="3">
        <v>0</v>
      </c>
    </row>
    <row r="471" spans="1:16" s="3" customFormat="1">
      <c r="A471" s="3" t="s">
        <v>492</v>
      </c>
      <c r="B471" s="4">
        <v>17</v>
      </c>
      <c r="C471" s="3" t="s">
        <v>10</v>
      </c>
      <c r="D471" s="3" t="s">
        <v>11</v>
      </c>
      <c r="E471" s="3">
        <f>+IFERROR(VLOOKUP(A471,TB!$A$12:$C$403,2,),0)</f>
        <v>0</v>
      </c>
      <c r="G471" s="3">
        <f t="shared" si="42"/>
        <v>0</v>
      </c>
      <c r="H471" s="3">
        <f>+IFERROR(VLOOKUP(A471,TB!$A$12:$C$403,3,),0)</f>
        <v>24831</v>
      </c>
      <c r="J471" s="3">
        <f t="shared" si="43"/>
        <v>24831</v>
      </c>
      <c r="K471" s="3">
        <v>0</v>
      </c>
      <c r="L471" s="3">
        <v>0</v>
      </c>
      <c r="M471" s="3">
        <v>0</v>
      </c>
      <c r="N471" s="3">
        <v>28004</v>
      </c>
      <c r="O471" s="3">
        <v>0</v>
      </c>
      <c r="P471" s="3">
        <v>28004</v>
      </c>
    </row>
    <row r="472" spans="1:16" s="3" customFormat="1">
      <c r="A472" s="3" t="s">
        <v>493</v>
      </c>
      <c r="B472" s="4">
        <v>17</v>
      </c>
      <c r="C472" s="3" t="s">
        <v>10</v>
      </c>
      <c r="D472" s="3" t="s">
        <v>11</v>
      </c>
      <c r="E472" s="3">
        <f>+IFERROR(VLOOKUP(A472,TB!$A$12:$C$403,2,),0)</f>
        <v>0</v>
      </c>
      <c r="G472" s="3">
        <f t="shared" si="42"/>
        <v>0</v>
      </c>
      <c r="H472" s="3">
        <f>+IFERROR(VLOOKUP(A472,TB!$A$12:$C$403,3,),0)</f>
        <v>0</v>
      </c>
      <c r="J472" s="3">
        <f t="shared" si="43"/>
        <v>0</v>
      </c>
      <c r="K472" s="3">
        <v>0</v>
      </c>
      <c r="L472" s="3">
        <v>0</v>
      </c>
      <c r="M472" s="3">
        <v>0</v>
      </c>
      <c r="N472" s="3">
        <v>13500</v>
      </c>
      <c r="O472" s="3">
        <v>0</v>
      </c>
      <c r="P472" s="3">
        <v>13500</v>
      </c>
    </row>
    <row r="473" spans="1:16" s="3" customFormat="1">
      <c r="A473" s="3" t="s">
        <v>494</v>
      </c>
      <c r="B473" s="4">
        <v>26</v>
      </c>
      <c r="C473" s="3" t="s">
        <v>71</v>
      </c>
      <c r="D473" s="3" t="s">
        <v>225</v>
      </c>
      <c r="E473" s="3">
        <f>+IFERROR(VLOOKUP(A473,TB!$A$12:$C$403,2,),0)</f>
        <v>0</v>
      </c>
      <c r="G473" s="3">
        <f t="shared" si="42"/>
        <v>0</v>
      </c>
      <c r="H473" s="3">
        <f>+IFERROR(VLOOKUP(A473,TB!$A$12:$C$403,3,),0)</f>
        <v>0</v>
      </c>
      <c r="J473" s="3">
        <f t="shared" si="43"/>
        <v>0</v>
      </c>
      <c r="K473" s="3">
        <v>948949</v>
      </c>
      <c r="L473" s="3">
        <v>0</v>
      </c>
      <c r="M473" s="3">
        <v>948949</v>
      </c>
      <c r="N473" s="3">
        <v>0</v>
      </c>
      <c r="O473" s="3">
        <v>0</v>
      </c>
      <c r="P473" s="3">
        <v>0</v>
      </c>
    </row>
    <row r="474" spans="1:16" s="3" customFormat="1">
      <c r="A474" s="3" t="s">
        <v>495</v>
      </c>
      <c r="B474" s="4">
        <v>17</v>
      </c>
      <c r="C474" s="3" t="s">
        <v>10</v>
      </c>
      <c r="D474" s="3" t="s">
        <v>10</v>
      </c>
      <c r="E474" s="3">
        <f>+IFERROR(VLOOKUP(A474,TB!$A$12:$C$403,2,),0)</f>
        <v>0</v>
      </c>
      <c r="G474" s="3">
        <f t="shared" si="42"/>
        <v>0</v>
      </c>
      <c r="H474" s="3">
        <f>+IFERROR(VLOOKUP(A474,TB!$A$12:$C$403,3,),0)</f>
        <v>143488</v>
      </c>
      <c r="J474" s="3">
        <f t="shared" si="43"/>
        <v>143488</v>
      </c>
      <c r="K474" s="3">
        <v>0</v>
      </c>
      <c r="L474" s="3">
        <v>0</v>
      </c>
      <c r="M474" s="3">
        <v>0</v>
      </c>
      <c r="N474" s="3">
        <v>0</v>
      </c>
      <c r="O474" s="3">
        <v>0</v>
      </c>
      <c r="P474" s="3">
        <v>0</v>
      </c>
    </row>
    <row r="475" spans="1:16" s="3" customFormat="1">
      <c r="A475" s="3" t="s">
        <v>496</v>
      </c>
      <c r="B475" s="4">
        <v>6</v>
      </c>
      <c r="C475" s="3" t="s">
        <v>15</v>
      </c>
      <c r="D475" s="3" t="s">
        <v>16</v>
      </c>
      <c r="E475" s="3">
        <f>+IFERROR(VLOOKUP(A475,TB!$A$12:$C$403,2,),0)</f>
        <v>563126</v>
      </c>
      <c r="G475" s="3">
        <f t="shared" si="42"/>
        <v>563126</v>
      </c>
      <c r="H475" s="3">
        <f>+IFERROR(VLOOKUP(A475,TB!$A$12:$C$403,3,),0)</f>
        <v>0</v>
      </c>
      <c r="J475" s="3">
        <f t="shared" si="43"/>
        <v>0</v>
      </c>
      <c r="K475" s="3">
        <v>488208</v>
      </c>
      <c r="L475" s="3">
        <v>0</v>
      </c>
      <c r="M475" s="3">
        <v>488208</v>
      </c>
      <c r="N475" s="3">
        <v>0</v>
      </c>
      <c r="O475" s="3">
        <v>0</v>
      </c>
      <c r="P475" s="3">
        <v>0</v>
      </c>
    </row>
    <row r="476" spans="1:16" s="3" customFormat="1">
      <c r="A476" s="3" t="s">
        <v>497</v>
      </c>
      <c r="B476" s="4">
        <v>17</v>
      </c>
      <c r="C476" s="3" t="s">
        <v>10</v>
      </c>
      <c r="D476" s="3" t="s">
        <v>11</v>
      </c>
      <c r="E476" s="3">
        <f>+IFERROR(VLOOKUP(A476,TB!$A$12:$C$403,2,),0)</f>
        <v>0</v>
      </c>
      <c r="G476" s="3">
        <f t="shared" si="42"/>
        <v>0</v>
      </c>
      <c r="H476" s="3">
        <f>+IFERROR(VLOOKUP(A476,TB!$A$12:$C$403,3,),0)</f>
        <v>588420</v>
      </c>
      <c r="J476" s="3">
        <f t="shared" si="43"/>
        <v>588420</v>
      </c>
      <c r="K476" s="3">
        <v>0</v>
      </c>
      <c r="L476" s="3">
        <v>0</v>
      </c>
      <c r="M476" s="3">
        <v>0</v>
      </c>
      <c r="N476" s="3">
        <v>0</v>
      </c>
      <c r="O476" s="3">
        <v>0</v>
      </c>
      <c r="P476" s="3">
        <v>0</v>
      </c>
    </row>
    <row r="477" spans="1:16" s="3" customFormat="1">
      <c r="A477" s="3" t="s">
        <v>498</v>
      </c>
      <c r="B477" s="4">
        <v>17</v>
      </c>
      <c r="C477" s="3" t="s">
        <v>10</v>
      </c>
      <c r="D477" s="3" t="s">
        <v>11</v>
      </c>
      <c r="E477" s="3">
        <f>+IFERROR(VLOOKUP(A477,TB!$A$12:$C$403,2,),0)</f>
        <v>0</v>
      </c>
      <c r="G477" s="3">
        <f t="shared" si="42"/>
        <v>0</v>
      </c>
      <c r="H477" s="3">
        <f>+IFERROR(VLOOKUP(A477,TB!$A$12:$C$403,3,),0)</f>
        <v>32397</v>
      </c>
      <c r="J477" s="3">
        <f t="shared" si="43"/>
        <v>32397</v>
      </c>
      <c r="K477" s="3">
        <v>0</v>
      </c>
      <c r="L477" s="3">
        <v>0</v>
      </c>
      <c r="M477" s="3">
        <v>0</v>
      </c>
      <c r="N477" s="3">
        <v>29358</v>
      </c>
      <c r="O477" s="3">
        <v>0</v>
      </c>
      <c r="P477" s="3">
        <v>29358</v>
      </c>
    </row>
    <row r="478" spans="1:16" s="3" customFormat="1">
      <c r="A478" s="3" t="s">
        <v>499</v>
      </c>
      <c r="B478" s="4">
        <v>17</v>
      </c>
      <c r="C478" s="3" t="s">
        <v>10</v>
      </c>
      <c r="D478" s="3" t="s">
        <v>10</v>
      </c>
      <c r="E478" s="3">
        <f>+IFERROR(VLOOKUP(A478,TB!$A$12:$C$403,2,),0)</f>
        <v>0</v>
      </c>
      <c r="G478" s="3">
        <f t="shared" si="42"/>
        <v>0</v>
      </c>
      <c r="H478" s="3">
        <f>+IFERROR(VLOOKUP(A478,TB!$A$12:$C$403,3,),0)</f>
        <v>0</v>
      </c>
      <c r="J478" s="3">
        <f t="shared" si="43"/>
        <v>0</v>
      </c>
      <c r="K478" s="3">
        <v>0</v>
      </c>
      <c r="L478" s="3">
        <v>0</v>
      </c>
      <c r="M478" s="3">
        <v>0</v>
      </c>
      <c r="N478" s="3">
        <v>30090</v>
      </c>
      <c r="O478" s="3">
        <v>0</v>
      </c>
      <c r="P478" s="3">
        <v>30090</v>
      </c>
    </row>
    <row r="479" spans="1:16" s="3" customFormat="1">
      <c r="A479" s="3" t="s">
        <v>500</v>
      </c>
      <c r="B479" s="4">
        <v>13</v>
      </c>
      <c r="C479" s="3" t="s">
        <v>47</v>
      </c>
      <c r="D479" s="3" t="s">
        <v>364</v>
      </c>
      <c r="E479" s="3">
        <f>+IFERROR(VLOOKUP(A479,TB!$A$12:$C$403,2,),0)</f>
        <v>0</v>
      </c>
      <c r="G479" s="3">
        <f t="shared" si="42"/>
        <v>0</v>
      </c>
      <c r="H479" s="3">
        <f>+IFERROR(VLOOKUP(A479,TB!$A$12:$C$403,3,),0)</f>
        <v>4745540.8600000003</v>
      </c>
      <c r="J479" s="3">
        <f t="shared" si="43"/>
        <v>4745540.8600000003</v>
      </c>
      <c r="K479" s="3">
        <v>0</v>
      </c>
      <c r="L479" s="3">
        <v>0</v>
      </c>
      <c r="M479" s="3">
        <v>0</v>
      </c>
      <c r="N479" s="3">
        <v>10481463</v>
      </c>
      <c r="O479" s="3">
        <v>0</v>
      </c>
      <c r="P479" s="3">
        <v>10481463</v>
      </c>
    </row>
    <row r="480" spans="1:16" s="3" customFormat="1">
      <c r="A480" s="3" t="s">
        <v>501</v>
      </c>
      <c r="B480" s="4">
        <v>2</v>
      </c>
      <c r="C480" s="3" t="s">
        <v>82</v>
      </c>
      <c r="D480" s="3" t="s">
        <v>83</v>
      </c>
      <c r="E480" s="3">
        <f>+IFERROR(VLOOKUP(A480,TB!$A$12:$C$403,2,),0)</f>
        <v>2991111</v>
      </c>
      <c r="G480" s="3">
        <f t="shared" ref="G480:G497" si="46">+E480+F480</f>
        <v>2991111</v>
      </c>
      <c r="H480" s="3">
        <f>+IFERROR(VLOOKUP(A480,TB!$A$12:$C$403,3,),0)</f>
        <v>0</v>
      </c>
      <c r="J480" s="3">
        <f t="shared" ref="J480:J497" si="47">+H480+I480</f>
        <v>0</v>
      </c>
      <c r="K480" s="3">
        <v>2991111</v>
      </c>
      <c r="L480" s="3">
        <v>0</v>
      </c>
      <c r="M480" s="3">
        <v>2991111</v>
      </c>
      <c r="N480" s="3">
        <v>0</v>
      </c>
      <c r="O480" s="3">
        <v>0</v>
      </c>
      <c r="P480" s="3">
        <v>0</v>
      </c>
    </row>
    <row r="481" spans="1:16" s="3" customFormat="1">
      <c r="A481" s="3" t="s">
        <v>502</v>
      </c>
      <c r="B481" s="4">
        <v>27</v>
      </c>
      <c r="C481" s="3" t="s">
        <v>51</v>
      </c>
      <c r="D481" s="3" t="s">
        <v>503</v>
      </c>
      <c r="E481" s="3">
        <f>+IFERROR(VLOOKUP(A481,TB!$A$12:$C$403,2,),0)</f>
        <v>676300</v>
      </c>
      <c r="G481" s="3">
        <f t="shared" si="46"/>
        <v>676300</v>
      </c>
      <c r="H481" s="3">
        <f>+IFERROR(VLOOKUP(A481,TB!$A$12:$C$403,3,),0)</f>
        <v>0</v>
      </c>
      <c r="J481" s="3">
        <f t="shared" si="47"/>
        <v>0</v>
      </c>
      <c r="K481" s="3">
        <v>677742</v>
      </c>
      <c r="L481" s="3">
        <v>0</v>
      </c>
      <c r="M481" s="3">
        <v>677742</v>
      </c>
      <c r="N481" s="3">
        <v>0</v>
      </c>
      <c r="O481" s="3">
        <v>0</v>
      </c>
      <c r="P481" s="3">
        <v>0</v>
      </c>
    </row>
    <row r="482" spans="1:16" s="3" customFormat="1">
      <c r="A482" s="3" t="s">
        <v>504</v>
      </c>
      <c r="B482" s="4">
        <v>27</v>
      </c>
      <c r="C482" s="3" t="s">
        <v>51</v>
      </c>
      <c r="D482" s="3" t="s">
        <v>503</v>
      </c>
      <c r="E482" s="3">
        <f>+IFERROR(VLOOKUP(A482,TB!$A$12:$C$403,2,),0)</f>
        <v>319936.52</v>
      </c>
      <c r="G482" s="3">
        <f t="shared" si="46"/>
        <v>319936.52</v>
      </c>
      <c r="H482" s="3">
        <f>+IFERROR(VLOOKUP(A482,TB!$A$12:$C$403,3,),0)</f>
        <v>0</v>
      </c>
      <c r="J482" s="3">
        <f t="shared" si="47"/>
        <v>0</v>
      </c>
      <c r="K482" s="3">
        <v>295158.12</v>
      </c>
      <c r="L482" s="3">
        <v>0</v>
      </c>
      <c r="M482" s="3">
        <v>295158.12</v>
      </c>
      <c r="N482" s="3">
        <v>0</v>
      </c>
      <c r="O482" s="3">
        <v>0</v>
      </c>
      <c r="P482" s="3">
        <v>0</v>
      </c>
    </row>
    <row r="483" spans="1:16" s="3" customFormat="1">
      <c r="A483" s="3" t="s">
        <v>505</v>
      </c>
      <c r="B483" s="4">
        <v>17</v>
      </c>
      <c r="C483" s="3" t="s">
        <v>10</v>
      </c>
      <c r="D483" s="3" t="s">
        <v>10</v>
      </c>
      <c r="E483" s="3">
        <f>+IFERROR(VLOOKUP(A483,TB!$A$12:$C$403,2,),0)</f>
        <v>0</v>
      </c>
      <c r="G483" s="3">
        <f t="shared" si="46"/>
        <v>0</v>
      </c>
      <c r="H483" s="3">
        <f>+IFERROR(VLOOKUP(A483,TB!$A$12:$C$403,3,),0)</f>
        <v>3500894</v>
      </c>
      <c r="J483" s="3">
        <f t="shared" si="47"/>
        <v>3500894</v>
      </c>
      <c r="K483" s="3">
        <v>0</v>
      </c>
      <c r="L483" s="3">
        <v>0</v>
      </c>
      <c r="M483" s="3">
        <v>0</v>
      </c>
      <c r="N483" s="3">
        <v>6011326</v>
      </c>
      <c r="O483" s="3">
        <v>0</v>
      </c>
      <c r="P483" s="3">
        <v>6011326</v>
      </c>
    </row>
    <row r="484" spans="1:16" s="3" customFormat="1">
      <c r="A484" s="3" t="s">
        <v>506</v>
      </c>
      <c r="B484" s="4">
        <v>17</v>
      </c>
      <c r="C484" s="3" t="s">
        <v>10</v>
      </c>
      <c r="D484" s="3" t="s">
        <v>10</v>
      </c>
      <c r="E484" s="3">
        <f>+IFERROR(VLOOKUP(A484,TB!$A$12:$C$403,2,),0)</f>
        <v>0</v>
      </c>
      <c r="G484" s="3">
        <f t="shared" si="46"/>
        <v>0</v>
      </c>
      <c r="H484" s="3">
        <f>+IFERROR(VLOOKUP(A484,TB!$A$12:$C$403,3,),0)</f>
        <v>750593</v>
      </c>
      <c r="J484" s="3">
        <f t="shared" si="47"/>
        <v>750593</v>
      </c>
      <c r="K484" s="3">
        <v>0</v>
      </c>
      <c r="L484" s="3">
        <v>0</v>
      </c>
      <c r="M484" s="3">
        <v>0</v>
      </c>
      <c r="N484" s="3">
        <v>0</v>
      </c>
      <c r="O484" s="3">
        <v>0</v>
      </c>
      <c r="P484" s="3">
        <v>0</v>
      </c>
    </row>
    <row r="485" spans="1:16" s="3" customFormat="1">
      <c r="A485" s="3" t="s">
        <v>507</v>
      </c>
      <c r="B485" s="4">
        <v>17</v>
      </c>
      <c r="C485" s="3" t="s">
        <v>10</v>
      </c>
      <c r="D485" s="3" t="s">
        <v>10</v>
      </c>
      <c r="E485" s="3">
        <f>+IFERROR(VLOOKUP(A485,TB!$A$12:$C$403,2,),0)</f>
        <v>0</v>
      </c>
      <c r="G485" s="3">
        <f t="shared" si="46"/>
        <v>0</v>
      </c>
      <c r="H485" s="3">
        <f>+IFERROR(VLOOKUP(A485,TB!$A$12:$C$403,3,),0)</f>
        <v>226800</v>
      </c>
      <c r="J485" s="3">
        <f t="shared" si="47"/>
        <v>226800</v>
      </c>
      <c r="K485" s="3">
        <v>0</v>
      </c>
      <c r="L485" s="3">
        <v>0</v>
      </c>
      <c r="M485" s="3">
        <v>0</v>
      </c>
      <c r="N485" s="3">
        <v>226800</v>
      </c>
      <c r="O485" s="3">
        <v>0</v>
      </c>
      <c r="P485" s="3">
        <v>226800</v>
      </c>
    </row>
    <row r="486" spans="1:16" s="3" customFormat="1">
      <c r="A486" s="3" t="s">
        <v>508</v>
      </c>
      <c r="B486" s="4">
        <v>27</v>
      </c>
      <c r="C486" s="3" t="s">
        <v>77</v>
      </c>
      <c r="D486" s="3" t="s">
        <v>78</v>
      </c>
      <c r="E486" s="3">
        <f>+IFERROR(VLOOKUP(A486,TB!$A$12:$C$403,2,),0)</f>
        <v>388251</v>
      </c>
      <c r="G486" s="3">
        <f t="shared" si="46"/>
        <v>388251</v>
      </c>
      <c r="H486" s="3">
        <f>+IFERROR(VLOOKUP(A486,TB!$A$12:$C$403,3,),0)</f>
        <v>0</v>
      </c>
      <c r="J486" s="3">
        <f t="shared" si="47"/>
        <v>0</v>
      </c>
      <c r="K486" s="3">
        <v>170365</v>
      </c>
      <c r="L486" s="3">
        <v>0</v>
      </c>
      <c r="M486" s="3">
        <v>170365</v>
      </c>
      <c r="N486" s="3">
        <v>0</v>
      </c>
      <c r="O486" s="3">
        <v>0</v>
      </c>
      <c r="P486" s="3">
        <v>0</v>
      </c>
    </row>
    <row r="487" spans="1:16" s="3" customFormat="1">
      <c r="A487" s="3" t="s">
        <v>509</v>
      </c>
      <c r="B487" s="4">
        <v>27</v>
      </c>
      <c r="C487" s="3" t="s">
        <v>77</v>
      </c>
      <c r="D487" s="3" t="s">
        <v>510</v>
      </c>
      <c r="E487" s="3">
        <f>+IFERROR(VLOOKUP(A487,TB!$A$12:$C$403,2,),0)</f>
        <v>4829408</v>
      </c>
      <c r="G487" s="3">
        <f t="shared" si="46"/>
        <v>4829408</v>
      </c>
      <c r="H487" s="3">
        <f>+IFERROR(VLOOKUP(A487,TB!$A$12:$C$403,3,),0)</f>
        <v>0</v>
      </c>
      <c r="J487" s="3">
        <f t="shared" si="47"/>
        <v>0</v>
      </c>
      <c r="K487" s="3">
        <v>6303933</v>
      </c>
      <c r="L487" s="3">
        <v>0</v>
      </c>
      <c r="M487" s="3">
        <v>6303933</v>
      </c>
      <c r="N487" s="3">
        <v>0</v>
      </c>
      <c r="O487" s="3">
        <v>0</v>
      </c>
      <c r="P487" s="3">
        <v>0</v>
      </c>
    </row>
    <row r="488" spans="1:16" s="3" customFormat="1">
      <c r="A488" s="3" t="s">
        <v>511</v>
      </c>
      <c r="B488" s="4">
        <v>23</v>
      </c>
      <c r="C488" s="3" t="s">
        <v>102</v>
      </c>
      <c r="D488" s="3" t="s">
        <v>103</v>
      </c>
      <c r="E488" s="3">
        <f>+IFERROR(VLOOKUP(A488,TB!$A$12:$C$403,2,),0)</f>
        <v>501477134.5</v>
      </c>
      <c r="G488" s="3">
        <f t="shared" si="46"/>
        <v>501477134.5</v>
      </c>
      <c r="H488" s="3">
        <f>+IFERROR(VLOOKUP(A488,TB!$A$12:$C$403,3,),0)</f>
        <v>0</v>
      </c>
      <c r="J488" s="3">
        <f t="shared" si="47"/>
        <v>0</v>
      </c>
      <c r="K488" s="3">
        <v>637901422.5</v>
      </c>
      <c r="L488" s="3">
        <v>0</v>
      </c>
      <c r="M488" s="3">
        <v>637901422.5</v>
      </c>
      <c r="N488" s="3">
        <v>0</v>
      </c>
      <c r="O488" s="3">
        <v>0</v>
      </c>
      <c r="P488" s="3">
        <v>0</v>
      </c>
    </row>
    <row r="489" spans="1:16" s="3" customFormat="1">
      <c r="A489" s="3" t="s">
        <v>512</v>
      </c>
      <c r="B489" s="4">
        <v>10</v>
      </c>
      <c r="C489" s="3" t="s">
        <v>34</v>
      </c>
      <c r="D489" s="3" t="s">
        <v>35</v>
      </c>
      <c r="E489" s="3">
        <f>+IFERROR(VLOOKUP(A489,TB!$A$12:$C$403,2,),0)</f>
        <v>0</v>
      </c>
      <c r="G489" s="3">
        <f t="shared" si="46"/>
        <v>0</v>
      </c>
      <c r="H489" s="3">
        <f>+IFERROR(VLOOKUP(A489,TB!$A$12:$C$403,3,),0)</f>
        <v>0</v>
      </c>
      <c r="J489" s="3">
        <f t="shared" si="47"/>
        <v>0</v>
      </c>
      <c r="K489" s="3">
        <v>4265067.0199999996</v>
      </c>
      <c r="L489" s="3">
        <v>0</v>
      </c>
      <c r="M489" s="3">
        <v>4265067.0199999996</v>
      </c>
      <c r="N489" s="3">
        <v>0</v>
      </c>
      <c r="O489" s="3">
        <v>0</v>
      </c>
      <c r="P489" s="3">
        <v>0</v>
      </c>
    </row>
    <row r="490" spans="1:16" s="3" customFormat="1">
      <c r="A490" s="3" t="s">
        <v>513</v>
      </c>
      <c r="B490" s="4">
        <v>2</v>
      </c>
      <c r="C490" s="3" t="s">
        <v>82</v>
      </c>
      <c r="D490" s="3" t="s">
        <v>461</v>
      </c>
      <c r="E490" s="3">
        <f>+IFERROR(VLOOKUP(A490,TB!$A$12:$C$403,2,),0)</f>
        <v>6416446.9100000001</v>
      </c>
      <c r="G490" s="3">
        <f t="shared" si="46"/>
        <v>6416446.9100000001</v>
      </c>
      <c r="H490" s="3">
        <f>+IFERROR(VLOOKUP(A490,TB!$A$12:$C$403,3,),0)</f>
        <v>0</v>
      </c>
      <c r="J490" s="3">
        <f t="shared" si="47"/>
        <v>0</v>
      </c>
      <c r="K490" s="3">
        <v>1138497.31</v>
      </c>
      <c r="L490" s="3">
        <v>0</v>
      </c>
      <c r="M490" s="3">
        <v>1138497.31</v>
      </c>
      <c r="N490" s="3">
        <v>0</v>
      </c>
      <c r="O490" s="3">
        <v>0</v>
      </c>
      <c r="P490" s="3">
        <v>0</v>
      </c>
    </row>
    <row r="491" spans="1:16" s="3" customFormat="1">
      <c r="A491" s="3" t="s">
        <v>514</v>
      </c>
      <c r="B491" s="4">
        <v>2</v>
      </c>
      <c r="C491" s="3" t="s">
        <v>82</v>
      </c>
      <c r="D491" s="3" t="s">
        <v>461</v>
      </c>
      <c r="E491" s="3">
        <f>+IFERROR(VLOOKUP(A491,TB!$A$12:$C$403,2,),0)</f>
        <v>83731782.780000001</v>
      </c>
      <c r="G491" s="3">
        <f t="shared" si="46"/>
        <v>83731782.780000001</v>
      </c>
      <c r="H491" s="3">
        <f>+IFERROR(VLOOKUP(A491,TB!$A$12:$C$403,3,),0)</f>
        <v>0</v>
      </c>
      <c r="J491" s="3">
        <f t="shared" si="47"/>
        <v>0</v>
      </c>
      <c r="K491" s="3">
        <v>15442705.91</v>
      </c>
      <c r="L491" s="3">
        <v>0</v>
      </c>
      <c r="M491" s="3">
        <v>15442705.91</v>
      </c>
      <c r="N491" s="3">
        <v>0</v>
      </c>
      <c r="O491" s="3">
        <v>0</v>
      </c>
      <c r="P491" s="3">
        <v>0</v>
      </c>
    </row>
    <row r="492" spans="1:16" s="3" customFormat="1">
      <c r="A492" s="3" t="s">
        <v>515</v>
      </c>
      <c r="B492" s="4">
        <v>27</v>
      </c>
      <c r="C492" s="3" t="s">
        <v>51</v>
      </c>
      <c r="D492" s="3" t="s">
        <v>52</v>
      </c>
      <c r="E492" s="3">
        <f>+IFERROR(VLOOKUP(A492,TB!$A$12:$C$403,2,),0)</f>
        <v>11164</v>
      </c>
      <c r="G492" s="3">
        <f t="shared" si="46"/>
        <v>11164</v>
      </c>
      <c r="H492" s="3">
        <f>+IFERROR(VLOOKUP(A492,TB!$A$12:$C$403,3,),0)</f>
        <v>0</v>
      </c>
      <c r="J492" s="3">
        <f t="shared" si="47"/>
        <v>0</v>
      </c>
      <c r="K492" s="3">
        <v>24987</v>
      </c>
      <c r="L492" s="3">
        <v>0</v>
      </c>
      <c r="M492" s="3">
        <v>24987</v>
      </c>
      <c r="N492" s="3">
        <v>0</v>
      </c>
      <c r="O492" s="3">
        <v>0</v>
      </c>
      <c r="P492" s="3">
        <v>0</v>
      </c>
    </row>
    <row r="493" spans="1:16" s="3" customFormat="1">
      <c r="A493" s="3" t="s">
        <v>516</v>
      </c>
      <c r="B493" s="4">
        <v>6</v>
      </c>
      <c r="C493" s="3" t="s">
        <v>15</v>
      </c>
      <c r="D493" s="3" t="s">
        <v>16</v>
      </c>
      <c r="E493" s="3">
        <f>+IFERROR(VLOOKUP(A493,TB!$A$12:$C$403,2,),0)</f>
        <v>22024573.640000001</v>
      </c>
      <c r="G493" s="3">
        <f t="shared" si="46"/>
        <v>22024573.640000001</v>
      </c>
      <c r="H493" s="3">
        <f>+IFERROR(VLOOKUP(A493,TB!$A$12:$C$403,3,),0)</f>
        <v>0</v>
      </c>
      <c r="J493" s="3">
        <f t="shared" si="47"/>
        <v>0</v>
      </c>
      <c r="K493" s="3">
        <v>43044826</v>
      </c>
      <c r="L493" s="3">
        <v>0</v>
      </c>
      <c r="M493" s="3">
        <v>43044826</v>
      </c>
      <c r="N493" s="3">
        <v>0</v>
      </c>
      <c r="O493" s="3">
        <v>0</v>
      </c>
      <c r="P493" s="3">
        <v>0</v>
      </c>
    </row>
    <row r="494" spans="1:16" s="3" customFormat="1">
      <c r="A494" s="3" t="s">
        <v>1211</v>
      </c>
      <c r="B494" s="4">
        <v>4</v>
      </c>
      <c r="C494" s="3" t="s">
        <v>24</v>
      </c>
      <c r="D494" s="3" t="s">
        <v>25</v>
      </c>
      <c r="E494" s="3">
        <f>+IFERROR(VLOOKUP(A494,TB!$A$12:$C$403,2,),0)</f>
        <v>0</v>
      </c>
      <c r="G494" s="3">
        <f t="shared" ref="G494" si="48">+E494+F494</f>
        <v>0</v>
      </c>
      <c r="H494" s="3">
        <f>+IFERROR(VLOOKUP(A494,TB!$A$12:$C$403,3,),0)</f>
        <v>0</v>
      </c>
      <c r="J494" s="3">
        <f t="shared" ref="J494" si="49">+H494+I494</f>
        <v>0</v>
      </c>
      <c r="K494" s="3">
        <v>4945556</v>
      </c>
      <c r="L494" s="3">
        <v>0</v>
      </c>
      <c r="M494" s="3">
        <v>4945556</v>
      </c>
      <c r="N494" s="3">
        <v>0</v>
      </c>
      <c r="O494" s="3">
        <v>0</v>
      </c>
      <c r="P494" s="3">
        <v>0</v>
      </c>
    </row>
    <row r="495" spans="1:16" s="3" customFormat="1">
      <c r="A495" s="3" t="s">
        <v>517</v>
      </c>
      <c r="B495" s="4"/>
      <c r="C495" s="3" t="s">
        <v>57</v>
      </c>
      <c r="D495" s="3" t="s">
        <v>58</v>
      </c>
      <c r="E495" s="3">
        <f>+IFERROR(VLOOKUP(A495,TB!$A$12:$C$403,2,),0)</f>
        <v>0</v>
      </c>
      <c r="G495" s="3">
        <f t="shared" si="46"/>
        <v>0</v>
      </c>
      <c r="H495" s="3">
        <f>+IFERROR(VLOOKUP(A495,TB!$A$12:$C$403,3,),0)</f>
        <v>481820</v>
      </c>
      <c r="J495" s="3">
        <f t="shared" si="47"/>
        <v>481820</v>
      </c>
    </row>
    <row r="496" spans="1:16" s="3" customFormat="1">
      <c r="A496" s="3" t="s">
        <v>1207</v>
      </c>
      <c r="B496" s="4">
        <v>4</v>
      </c>
      <c r="C496" s="3" t="s">
        <v>24</v>
      </c>
      <c r="D496" s="3" t="s">
        <v>25</v>
      </c>
      <c r="E496" s="3">
        <f>+IFERROR(VLOOKUP(A496,TB!$A$12:$C$403,2,),0)</f>
        <v>0</v>
      </c>
      <c r="G496" s="3">
        <f t="shared" ref="G496" si="50">+E496+F496</f>
        <v>0</v>
      </c>
      <c r="H496" s="3">
        <f>+IFERROR(VLOOKUP(A496,TB!$A$12:$C$403,3,),0)</f>
        <v>0</v>
      </c>
      <c r="J496" s="3">
        <f t="shared" ref="J496" si="51">+H496+I496</f>
        <v>0</v>
      </c>
      <c r="K496" s="3">
        <v>1000000</v>
      </c>
      <c r="L496" s="3">
        <v>0</v>
      </c>
      <c r="M496" s="3">
        <v>1000000</v>
      </c>
      <c r="N496" s="3">
        <v>0</v>
      </c>
      <c r="O496" s="3">
        <v>0</v>
      </c>
      <c r="P496" s="3">
        <v>0</v>
      </c>
    </row>
    <row r="497" spans="1:16" s="3" customFormat="1" ht="15" thickBot="1">
      <c r="A497" s="3" t="s">
        <v>518</v>
      </c>
      <c r="B497" s="4"/>
      <c r="C497" s="3" t="s">
        <v>57</v>
      </c>
      <c r="D497" s="3" t="s">
        <v>58</v>
      </c>
      <c r="E497" s="3">
        <f>+IFERROR(VLOOKUP(A497,TB!$A$12:$C$403,2,),0)</f>
        <v>0</v>
      </c>
      <c r="G497" s="3">
        <f t="shared" si="46"/>
        <v>0</v>
      </c>
      <c r="H497" s="3">
        <f>+IFERROR(VLOOKUP(A497,TB!$A$12:$C$403,3,),0)</f>
        <v>150105</v>
      </c>
      <c r="J497" s="3">
        <f t="shared" si="47"/>
        <v>150105</v>
      </c>
      <c r="K497" s="3">
        <v>0</v>
      </c>
      <c r="L497" s="3">
        <v>0</v>
      </c>
      <c r="M497" s="3">
        <v>0</v>
      </c>
      <c r="N497" s="3">
        <v>0</v>
      </c>
      <c r="O497" s="3">
        <v>0</v>
      </c>
      <c r="P497" s="3">
        <v>0</v>
      </c>
    </row>
    <row r="498" spans="1:16" s="8" customFormat="1" ht="15" thickBot="1">
      <c r="A498" s="6"/>
      <c r="B498" s="7"/>
      <c r="E498" s="9">
        <f t="shared" ref="E498:P498" si="52">+SUM(E4:E497)</f>
        <v>1883440565.6800003</v>
      </c>
      <c r="F498" s="9">
        <f t="shared" si="52"/>
        <v>0</v>
      </c>
      <c r="G498" s="9">
        <f t="shared" si="52"/>
        <v>1883440565.6800003</v>
      </c>
      <c r="H498" s="9">
        <f t="shared" si="52"/>
        <v>1883440565.6800001</v>
      </c>
      <c r="I498" s="9">
        <f t="shared" si="52"/>
        <v>0</v>
      </c>
      <c r="J498" s="9">
        <f t="shared" si="52"/>
        <v>1883440565.6799998</v>
      </c>
      <c r="K498" s="9">
        <f t="shared" si="52"/>
        <v>1826227184.8299999</v>
      </c>
      <c r="L498" s="9">
        <f t="shared" si="52"/>
        <v>0</v>
      </c>
      <c r="M498" s="9">
        <f t="shared" si="52"/>
        <v>1826227184.8299999</v>
      </c>
      <c r="N498" s="9">
        <f t="shared" si="52"/>
        <v>1825192626.8300002</v>
      </c>
      <c r="O498" s="9">
        <f t="shared" si="52"/>
        <v>0</v>
      </c>
      <c r="P498" s="9">
        <f t="shared" si="52"/>
        <v>1825192626.8300002</v>
      </c>
    </row>
    <row r="499" spans="1:16">
      <c r="G499" s="12">
        <f>+G498-J498</f>
        <v>0</v>
      </c>
      <c r="P499" s="12"/>
    </row>
    <row r="511" spans="1:16">
      <c r="M511" s="12"/>
    </row>
  </sheetData>
  <autoFilter ref="A3:Q499" xr:uid="{00000000-0009-0000-0000-000011000000}"/>
  <mergeCells count="2">
    <mergeCell ref="E2:J2"/>
    <mergeCell ref="K2:P2"/>
  </mergeCells>
  <conditionalFormatting sqref="A2:A3">
    <cfRule type="duplicateValues" dxfId="2" priority="1"/>
  </conditionalFormatting>
  <conditionalFormatting sqref="A3">
    <cfRule type="duplicateValues" dxfId="1" priority="2"/>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405"/>
  <sheetViews>
    <sheetView topLeftCell="A381" workbookViewId="0">
      <selection activeCell="H46" sqref="H46"/>
    </sheetView>
  </sheetViews>
  <sheetFormatPr defaultRowHeight="14.4"/>
  <cols>
    <col min="1" max="1" width="47.5546875" bestFit="1" customWidth="1"/>
    <col min="2" max="3" width="13.5546875" bestFit="1" customWidth="1"/>
    <col min="5" max="6" width="18" style="3" bestFit="1" customWidth="1"/>
    <col min="7" max="9" width="16.88671875" bestFit="1" customWidth="1"/>
  </cols>
  <sheetData>
    <row r="1" spans="1:9" ht="15.6">
      <c r="A1" s="2368" t="s">
        <v>523</v>
      </c>
      <c r="B1" s="2368"/>
      <c r="C1" s="2368"/>
    </row>
    <row r="2" spans="1:9">
      <c r="A2" s="2369" t="s">
        <v>524</v>
      </c>
      <c r="B2" s="2369"/>
      <c r="C2" s="2369"/>
    </row>
    <row r="3" spans="1:9">
      <c r="A3" s="2369" t="s">
        <v>525</v>
      </c>
      <c r="B3" s="2369"/>
      <c r="C3" s="2369"/>
    </row>
    <row r="4" spans="1:9">
      <c r="A4" s="2369" t="s">
        <v>526</v>
      </c>
      <c r="B4" s="2369"/>
      <c r="C4" s="2369"/>
    </row>
    <row r="5" spans="1:9">
      <c r="A5" s="2370" t="s">
        <v>527</v>
      </c>
      <c r="B5" s="2370"/>
      <c r="C5" s="2370"/>
    </row>
    <row r="6" spans="1:9" ht="15.6">
      <c r="A6" s="2371" t="s">
        <v>528</v>
      </c>
      <c r="B6" s="2371"/>
      <c r="C6" s="2371"/>
    </row>
    <row r="7" spans="1:9">
      <c r="A7" s="2369" t="s">
        <v>529</v>
      </c>
      <c r="B7" s="2369"/>
      <c r="C7" s="2369"/>
    </row>
    <row r="8" spans="1:9" ht="15" customHeight="1">
      <c r="A8" s="1136" t="s">
        <v>530</v>
      </c>
      <c r="B8" s="2362" t="s">
        <v>531</v>
      </c>
      <c r="C8" s="2363"/>
    </row>
    <row r="9" spans="1:9" ht="15" customHeight="1">
      <c r="A9" s="1137" t="s">
        <v>532</v>
      </c>
      <c r="B9" s="2364" t="s">
        <v>529</v>
      </c>
      <c r="C9" s="2365"/>
    </row>
    <row r="10" spans="1:9">
      <c r="A10" s="1137" t="s">
        <v>530</v>
      </c>
      <c r="B10" s="2366" t="s">
        <v>533</v>
      </c>
      <c r="C10" s="2367"/>
    </row>
    <row r="11" spans="1:9">
      <c r="A11" s="1138" t="s">
        <v>530</v>
      </c>
      <c r="B11" s="1139" t="s">
        <v>534</v>
      </c>
      <c r="C11" s="1139" t="s">
        <v>535</v>
      </c>
      <c r="E11" s="3" t="s">
        <v>666</v>
      </c>
      <c r="F11" s="3" t="s">
        <v>667</v>
      </c>
      <c r="G11" t="s">
        <v>668</v>
      </c>
      <c r="H11" t="s">
        <v>669</v>
      </c>
      <c r="I11" t="s">
        <v>670</v>
      </c>
    </row>
    <row r="12" spans="1:9">
      <c r="A12" s="1013" t="s">
        <v>282</v>
      </c>
      <c r="B12" s="1014">
        <v>51593267</v>
      </c>
      <c r="C12" s="1015"/>
      <c r="E12" s="3">
        <f>+IFERROR(VLOOKUP(A12,'TB Final'!$A$4:$J$497,5,),0)</f>
        <v>51593267</v>
      </c>
      <c r="F12" s="3">
        <f>+IFERROR(VLOOKUP(A12,'TB Final'!$A$4:$J$497,8,),0)</f>
        <v>0</v>
      </c>
      <c r="G12" s="12">
        <f>+B12-E12</f>
        <v>0</v>
      </c>
      <c r="H12" s="12">
        <f>+C12-F12</f>
        <v>0</v>
      </c>
      <c r="I12" s="12">
        <f>+SUM(G12:H12)</f>
        <v>0</v>
      </c>
    </row>
    <row r="13" spans="1:9">
      <c r="A13" s="5" t="s">
        <v>518</v>
      </c>
      <c r="B13" s="1016"/>
      <c r="C13" s="1017">
        <v>150105</v>
      </c>
      <c r="E13" s="3">
        <f>+IFERROR(VLOOKUP(A13,'TB Final'!$A$4:$J$497,5,),0)</f>
        <v>0</v>
      </c>
      <c r="F13" s="3">
        <f>+IFERROR(VLOOKUP(A13,'TB Final'!$A$4:$J$497,8,),0)</f>
        <v>150105</v>
      </c>
      <c r="G13" s="12">
        <f t="shared" ref="G13:G76" si="0">+B13-E13</f>
        <v>0</v>
      </c>
      <c r="H13" s="12">
        <f t="shared" ref="H13:H76" si="1">+C13-F13</f>
        <v>0</v>
      </c>
      <c r="I13" s="12">
        <f t="shared" ref="I13:I76" si="2">+SUM(G13:H13)</f>
        <v>0</v>
      </c>
    </row>
    <row r="14" spans="1:9">
      <c r="A14" s="5" t="s">
        <v>22</v>
      </c>
      <c r="B14" s="1016"/>
      <c r="C14" s="1017">
        <v>380240</v>
      </c>
      <c r="E14" s="3">
        <f>+IFERROR(VLOOKUP(A14,'TB Final'!$A$4:$J$497,5,),0)</f>
        <v>0</v>
      </c>
      <c r="F14" s="3">
        <f>+IFERROR(VLOOKUP(A14,'TB Final'!$A$4:$J$497,8,),0)</f>
        <v>380240</v>
      </c>
      <c r="G14" s="12">
        <f t="shared" si="0"/>
        <v>0</v>
      </c>
      <c r="H14" s="12">
        <f t="shared" si="1"/>
        <v>0</v>
      </c>
      <c r="I14" s="12">
        <f t="shared" si="2"/>
        <v>0</v>
      </c>
    </row>
    <row r="15" spans="1:9">
      <c r="A15" s="5" t="s">
        <v>32</v>
      </c>
      <c r="B15" s="1016"/>
      <c r="C15" s="1017">
        <v>33034</v>
      </c>
      <c r="E15" s="3">
        <f>+IFERROR(VLOOKUP(A15,'TB Final'!$A$4:$J$497,5,),0)</f>
        <v>0</v>
      </c>
      <c r="F15" s="3">
        <f>+IFERROR(VLOOKUP(A15,'TB Final'!$A$4:$J$497,8,),0)</f>
        <v>33034</v>
      </c>
      <c r="G15" s="12">
        <f t="shared" si="0"/>
        <v>0</v>
      </c>
      <c r="H15" s="12">
        <f t="shared" si="1"/>
        <v>0</v>
      </c>
      <c r="I15" s="12">
        <f t="shared" si="2"/>
        <v>0</v>
      </c>
    </row>
    <row r="16" spans="1:9">
      <c r="A16" s="5" t="s">
        <v>29</v>
      </c>
      <c r="B16" s="1017">
        <v>120274</v>
      </c>
      <c r="C16" s="1016"/>
      <c r="E16" s="3">
        <f>+IFERROR(VLOOKUP(A16,'TB Final'!$A$4:$J$497,5,),0)</f>
        <v>120274</v>
      </c>
      <c r="F16" s="3">
        <f>+IFERROR(VLOOKUP(A16,'TB Final'!$A$4:$J$497,8,),0)</f>
        <v>0</v>
      </c>
      <c r="G16" s="12">
        <f t="shared" si="0"/>
        <v>0</v>
      </c>
      <c r="H16" s="12">
        <f t="shared" si="1"/>
        <v>0</v>
      </c>
      <c r="I16" s="12">
        <f t="shared" si="2"/>
        <v>0</v>
      </c>
    </row>
    <row r="17" spans="1:9">
      <c r="A17" s="5" t="s">
        <v>342</v>
      </c>
      <c r="B17" s="1016"/>
      <c r="C17" s="1017">
        <v>39816</v>
      </c>
      <c r="E17" s="3">
        <f>+IFERROR(VLOOKUP(A17,'TB Final'!$A$4:$J$497,5,),0)</f>
        <v>0</v>
      </c>
      <c r="F17" s="3">
        <f>+IFERROR(VLOOKUP(A17,'TB Final'!$A$4:$J$497,8,),0)</f>
        <v>39816</v>
      </c>
      <c r="G17" s="12">
        <f t="shared" si="0"/>
        <v>0</v>
      </c>
      <c r="H17" s="12">
        <f t="shared" si="1"/>
        <v>0</v>
      </c>
      <c r="I17" s="12">
        <f t="shared" si="2"/>
        <v>0</v>
      </c>
    </row>
    <row r="18" spans="1:9">
      <c r="A18" s="5" t="s">
        <v>31</v>
      </c>
      <c r="B18" s="1017">
        <v>509902</v>
      </c>
      <c r="C18" s="1016"/>
      <c r="E18" s="3">
        <f>+IFERROR(VLOOKUP(A18,'TB Final'!$A$4:$J$497,5,),0)</f>
        <v>509902</v>
      </c>
      <c r="F18" s="3">
        <f>+IFERROR(VLOOKUP(A18,'TB Final'!$A$4:$J$497,8,),0)</f>
        <v>0</v>
      </c>
      <c r="G18" s="12">
        <f t="shared" si="0"/>
        <v>0</v>
      </c>
      <c r="H18" s="12">
        <f t="shared" si="1"/>
        <v>0</v>
      </c>
      <c r="I18" s="12">
        <f t="shared" si="2"/>
        <v>0</v>
      </c>
    </row>
    <row r="19" spans="1:9">
      <c r="A19" s="5" t="s">
        <v>9</v>
      </c>
      <c r="B19" s="1016"/>
      <c r="C19" s="1017">
        <v>73440</v>
      </c>
      <c r="E19" s="3">
        <f>+IFERROR(VLOOKUP(A19,'TB Final'!$A$4:$J$497,5,),0)</f>
        <v>0</v>
      </c>
      <c r="F19" s="3">
        <f>+IFERROR(VLOOKUP(A19,'TB Final'!$A$4:$J$497,8,),0)</f>
        <v>73440</v>
      </c>
      <c r="G19" s="12">
        <f t="shared" si="0"/>
        <v>0</v>
      </c>
      <c r="H19" s="12">
        <f t="shared" si="1"/>
        <v>0</v>
      </c>
      <c r="I19" s="12">
        <f t="shared" si="2"/>
        <v>0</v>
      </c>
    </row>
    <row r="20" spans="1:9">
      <c r="A20" s="5" t="s">
        <v>537</v>
      </c>
      <c r="B20" s="1016"/>
      <c r="C20" s="1017">
        <v>2033181</v>
      </c>
      <c r="E20" s="3">
        <f>+IFERROR(VLOOKUP(A20,'TB Final'!$A$4:$J$497,5,),0)</f>
        <v>0</v>
      </c>
      <c r="F20" s="3">
        <f>+IFERROR(VLOOKUP(A20,'TB Final'!$A$4:$J$497,8,),0)</f>
        <v>2033181</v>
      </c>
      <c r="G20" s="12">
        <f t="shared" si="0"/>
        <v>0</v>
      </c>
      <c r="H20" s="12">
        <f t="shared" si="1"/>
        <v>0</v>
      </c>
      <c r="I20" s="12">
        <f t="shared" si="2"/>
        <v>0</v>
      </c>
    </row>
    <row r="21" spans="1:9">
      <c r="A21" s="5" t="s">
        <v>17</v>
      </c>
      <c r="B21" s="1017">
        <v>13460226</v>
      </c>
      <c r="C21" s="1016"/>
      <c r="E21" s="3">
        <f>+IFERROR(VLOOKUP(A21,'TB Final'!$A$4:$J$497,5,),0)</f>
        <v>13460226</v>
      </c>
      <c r="F21" s="3">
        <f>+IFERROR(VLOOKUP(A21,'TB Final'!$A$4:$J$497,8,),0)</f>
        <v>0</v>
      </c>
      <c r="G21" s="12">
        <f t="shared" si="0"/>
        <v>0</v>
      </c>
      <c r="H21" s="12">
        <f t="shared" si="1"/>
        <v>0</v>
      </c>
      <c r="I21" s="12">
        <f t="shared" si="2"/>
        <v>0</v>
      </c>
    </row>
    <row r="22" spans="1:9">
      <c r="A22" s="5" t="s">
        <v>20</v>
      </c>
      <c r="B22" s="1016"/>
      <c r="C22" s="1017">
        <v>146832</v>
      </c>
      <c r="E22" s="3">
        <f>+IFERROR(VLOOKUP(A22,'TB Final'!$A$4:$J$497,5,),0)</f>
        <v>0</v>
      </c>
      <c r="F22" s="3">
        <f>+IFERROR(VLOOKUP(A22,'TB Final'!$A$4:$J$497,8,),0)</f>
        <v>146832</v>
      </c>
      <c r="G22" s="12">
        <f t="shared" si="0"/>
        <v>0</v>
      </c>
      <c r="H22" s="12">
        <f t="shared" si="1"/>
        <v>0</v>
      </c>
      <c r="I22" s="12">
        <f t="shared" si="2"/>
        <v>0</v>
      </c>
    </row>
    <row r="23" spans="1:9">
      <c r="A23" s="5" t="s">
        <v>538</v>
      </c>
      <c r="B23" s="1016"/>
      <c r="C23" s="1017">
        <v>2723419</v>
      </c>
      <c r="E23" s="3">
        <f>+IFERROR(VLOOKUP(A23,'TB Final'!$A$4:$J$497,5,),0)</f>
        <v>0</v>
      </c>
      <c r="F23" s="3">
        <f>+IFERROR(VLOOKUP(A23,'TB Final'!$A$4:$J$497,8,),0)</f>
        <v>2723419</v>
      </c>
      <c r="G23" s="12">
        <f t="shared" si="0"/>
        <v>0</v>
      </c>
      <c r="H23" s="12">
        <f t="shared" si="1"/>
        <v>0</v>
      </c>
      <c r="I23" s="12">
        <f t="shared" si="2"/>
        <v>0</v>
      </c>
    </row>
    <row r="24" spans="1:9">
      <c r="A24" s="5" t="s">
        <v>539</v>
      </c>
      <c r="B24" s="1017">
        <v>1442225</v>
      </c>
      <c r="C24" s="1016"/>
      <c r="E24" s="3">
        <f>+IFERROR(VLOOKUP(A24,'TB Final'!$A$4:$J$497,5,),0)</f>
        <v>1442225</v>
      </c>
      <c r="F24" s="3">
        <f>+IFERROR(VLOOKUP(A24,'TB Final'!$A$4:$J$497,8,),0)</f>
        <v>0</v>
      </c>
      <c r="G24" s="12">
        <f t="shared" si="0"/>
        <v>0</v>
      </c>
      <c r="H24" s="12">
        <f t="shared" si="1"/>
        <v>0</v>
      </c>
      <c r="I24" s="12">
        <f t="shared" si="2"/>
        <v>0</v>
      </c>
    </row>
    <row r="25" spans="1:9">
      <c r="A25" s="5" t="s">
        <v>49</v>
      </c>
      <c r="B25" s="1016"/>
      <c r="C25" s="1017">
        <v>1085610</v>
      </c>
      <c r="E25" s="3">
        <f>+IFERROR(VLOOKUP(A25,'TB Final'!$A$4:$J$497,5,),0)</f>
        <v>0</v>
      </c>
      <c r="F25" s="3">
        <f>+IFERROR(VLOOKUP(A25,'TB Final'!$A$4:$J$497,8,),0)</f>
        <v>1085610</v>
      </c>
      <c r="G25" s="12">
        <f t="shared" si="0"/>
        <v>0</v>
      </c>
      <c r="H25" s="12">
        <f t="shared" si="1"/>
        <v>0</v>
      </c>
      <c r="I25" s="12">
        <f t="shared" si="2"/>
        <v>0</v>
      </c>
    </row>
    <row r="26" spans="1:9">
      <c r="A26" s="5" t="s">
        <v>53</v>
      </c>
      <c r="B26" s="1017">
        <v>18000</v>
      </c>
      <c r="C26" s="1016"/>
      <c r="E26" s="3">
        <f>+IFERROR(VLOOKUP(A26,'TB Final'!$A$4:$J$497,5,),0)</f>
        <v>18000</v>
      </c>
      <c r="F26" s="3">
        <f>+IFERROR(VLOOKUP(A26,'TB Final'!$A$4:$J$497,8,),0)</f>
        <v>0</v>
      </c>
      <c r="G26" s="12">
        <f t="shared" si="0"/>
        <v>0</v>
      </c>
      <c r="H26" s="12">
        <f t="shared" si="1"/>
        <v>0</v>
      </c>
      <c r="I26" s="12">
        <f t="shared" si="2"/>
        <v>0</v>
      </c>
    </row>
    <row r="27" spans="1:9">
      <c r="A27" s="5" t="s">
        <v>54</v>
      </c>
      <c r="B27" s="1017">
        <v>55000</v>
      </c>
      <c r="C27" s="1016"/>
      <c r="E27" s="3">
        <f>+IFERROR(VLOOKUP(A27,'TB Final'!$A$4:$J$497,5,),0)</f>
        <v>55000</v>
      </c>
      <c r="F27" s="3">
        <f>+IFERROR(VLOOKUP(A27,'TB Final'!$A$4:$J$497,8,),0)</f>
        <v>0</v>
      </c>
      <c r="G27" s="12">
        <f t="shared" si="0"/>
        <v>0</v>
      </c>
      <c r="H27" s="12">
        <f t="shared" si="1"/>
        <v>0</v>
      </c>
      <c r="I27" s="12">
        <f t="shared" si="2"/>
        <v>0</v>
      </c>
    </row>
    <row r="28" spans="1:9">
      <c r="A28" s="5" t="s">
        <v>540</v>
      </c>
      <c r="B28" s="1016"/>
      <c r="C28" s="1017">
        <v>7500000</v>
      </c>
      <c r="E28" s="3">
        <f>+IFERROR(VLOOKUP(A28,'TB Final'!$A$4:$J$497,5,),0)</f>
        <v>0</v>
      </c>
      <c r="F28" s="3">
        <f>+IFERROR(VLOOKUP(A28,'TB Final'!$A$4:$J$497,8,),0)</f>
        <v>7500000</v>
      </c>
      <c r="G28" s="12">
        <f t="shared" si="0"/>
        <v>0</v>
      </c>
      <c r="H28" s="12">
        <f t="shared" si="1"/>
        <v>0</v>
      </c>
      <c r="I28" s="12">
        <f t="shared" si="2"/>
        <v>0</v>
      </c>
    </row>
    <row r="29" spans="1:9">
      <c r="A29" s="5" t="s">
        <v>62</v>
      </c>
      <c r="B29" s="1016"/>
      <c r="C29" s="1017">
        <v>247500</v>
      </c>
      <c r="E29" s="3">
        <f>+IFERROR(VLOOKUP(A29,'TB Final'!$A$4:$J$497,5,),0)</f>
        <v>0</v>
      </c>
      <c r="F29" s="3">
        <f>+IFERROR(VLOOKUP(A29,'TB Final'!$A$4:$J$497,8,),0)</f>
        <v>247500</v>
      </c>
      <c r="G29" s="12">
        <f t="shared" si="0"/>
        <v>0</v>
      </c>
      <c r="H29" s="12">
        <f t="shared" si="1"/>
        <v>0</v>
      </c>
      <c r="I29" s="12">
        <f t="shared" si="2"/>
        <v>0</v>
      </c>
    </row>
    <row r="30" spans="1:9">
      <c r="A30" s="5" t="s">
        <v>541</v>
      </c>
      <c r="B30" s="1017">
        <v>2282129</v>
      </c>
      <c r="C30" s="1016"/>
      <c r="E30" s="3">
        <f>+IFERROR(VLOOKUP(A30,'TB Final'!$A$4:$J$497,5,),0)</f>
        <v>2282129</v>
      </c>
      <c r="F30" s="3">
        <f>+IFERROR(VLOOKUP(A30,'TB Final'!$A$4:$J$497,8,),0)</f>
        <v>0</v>
      </c>
      <c r="G30" s="12">
        <f t="shared" si="0"/>
        <v>0</v>
      </c>
      <c r="H30" s="12">
        <f t="shared" si="1"/>
        <v>0</v>
      </c>
      <c r="I30" s="12">
        <f t="shared" si="2"/>
        <v>0</v>
      </c>
    </row>
    <row r="31" spans="1:9">
      <c r="A31" s="5" t="s">
        <v>542</v>
      </c>
      <c r="B31" s="1016"/>
      <c r="C31" s="1017">
        <v>556517</v>
      </c>
      <c r="E31" s="3">
        <f>+IFERROR(VLOOKUP(A31,'TB Final'!$A$4:$J$497,5,),0)</f>
        <v>0</v>
      </c>
      <c r="F31" s="3">
        <f>+IFERROR(VLOOKUP(A31,'TB Final'!$A$4:$J$497,8,),0)</f>
        <v>556517</v>
      </c>
      <c r="G31" s="12">
        <f t="shared" si="0"/>
        <v>0</v>
      </c>
      <c r="H31" s="12">
        <f t="shared" si="1"/>
        <v>0</v>
      </c>
      <c r="I31" s="12">
        <f t="shared" si="2"/>
        <v>0</v>
      </c>
    </row>
    <row r="32" spans="1:9">
      <c r="A32" s="5" t="s">
        <v>64</v>
      </c>
      <c r="B32" s="1016"/>
      <c r="C32" s="1017">
        <v>156616</v>
      </c>
      <c r="E32" s="3">
        <f>+IFERROR(VLOOKUP(A32,'TB Final'!$A$4:$J$497,5,),0)</f>
        <v>0</v>
      </c>
      <c r="F32" s="3">
        <f>+IFERROR(VLOOKUP(A32,'TB Final'!$A$4:$J$497,8,),0)</f>
        <v>156616</v>
      </c>
      <c r="G32" s="12">
        <f t="shared" si="0"/>
        <v>0</v>
      </c>
      <c r="H32" s="12">
        <f t="shared" si="1"/>
        <v>0</v>
      </c>
      <c r="I32" s="12">
        <f t="shared" si="2"/>
        <v>0</v>
      </c>
    </row>
    <row r="33" spans="1:9">
      <c r="A33" s="5" t="s">
        <v>426</v>
      </c>
      <c r="B33" s="1016"/>
      <c r="C33" s="1017">
        <v>21491</v>
      </c>
      <c r="E33" s="3">
        <f>+IFERROR(VLOOKUP(A33,'TB Final'!$A$4:$J$497,5,),0)</f>
        <v>0</v>
      </c>
      <c r="F33" s="3">
        <f>+IFERROR(VLOOKUP(A33,'TB Final'!$A$4:$J$497,8,),0)</f>
        <v>21491</v>
      </c>
      <c r="G33" s="12">
        <f t="shared" si="0"/>
        <v>0</v>
      </c>
      <c r="H33" s="12">
        <f t="shared" si="1"/>
        <v>0</v>
      </c>
      <c r="I33" s="12">
        <f t="shared" si="2"/>
        <v>0</v>
      </c>
    </row>
    <row r="34" spans="1:9">
      <c r="A34" s="5" t="s">
        <v>65</v>
      </c>
      <c r="B34" s="1016"/>
      <c r="C34" s="1017">
        <v>853856</v>
      </c>
      <c r="E34" s="3">
        <f>+IFERROR(VLOOKUP(A34,'TB Final'!$A$4:$J$497,5,),0)</f>
        <v>0</v>
      </c>
      <c r="F34" s="3">
        <f>+IFERROR(VLOOKUP(A34,'TB Final'!$A$4:$J$497,8,),0)</f>
        <v>853856</v>
      </c>
      <c r="G34" s="12">
        <f t="shared" si="0"/>
        <v>0</v>
      </c>
      <c r="H34" s="12">
        <f t="shared" si="1"/>
        <v>0</v>
      </c>
      <c r="I34" s="12">
        <f t="shared" si="2"/>
        <v>0</v>
      </c>
    </row>
    <row r="35" spans="1:9">
      <c r="A35" s="5" t="s">
        <v>66</v>
      </c>
      <c r="B35" s="1017">
        <v>412603.48</v>
      </c>
      <c r="C35" s="1016"/>
      <c r="E35" s="3">
        <f>+IFERROR(VLOOKUP(A35,'TB Final'!$A$4:$J$497,5,),0)</f>
        <v>412603.48</v>
      </c>
      <c r="F35" s="3">
        <f>+IFERROR(VLOOKUP(A35,'TB Final'!$A$4:$J$497,8,),0)</f>
        <v>0</v>
      </c>
      <c r="G35" s="12">
        <f t="shared" si="0"/>
        <v>0</v>
      </c>
      <c r="H35" s="12">
        <f t="shared" si="1"/>
        <v>0</v>
      </c>
      <c r="I35" s="12">
        <f t="shared" si="2"/>
        <v>0</v>
      </c>
    </row>
    <row r="36" spans="1:9">
      <c r="A36" s="5" t="s">
        <v>70</v>
      </c>
      <c r="B36" s="1017">
        <v>175317</v>
      </c>
      <c r="C36" s="1016"/>
      <c r="E36" s="3">
        <f>+IFERROR(VLOOKUP(A36,'TB Final'!$A$4:$J$497,5,),0)</f>
        <v>175317</v>
      </c>
      <c r="F36" s="3">
        <f>+IFERROR(VLOOKUP(A36,'TB Final'!$A$4:$J$497,8,),0)</f>
        <v>0</v>
      </c>
      <c r="G36" s="12">
        <f t="shared" si="0"/>
        <v>0</v>
      </c>
      <c r="H36" s="12">
        <f t="shared" si="1"/>
        <v>0</v>
      </c>
      <c r="I36" s="12">
        <f t="shared" si="2"/>
        <v>0</v>
      </c>
    </row>
    <row r="37" spans="1:9">
      <c r="A37" s="5" t="s">
        <v>73</v>
      </c>
      <c r="B37" s="1016"/>
      <c r="C37" s="1017">
        <v>54681</v>
      </c>
      <c r="E37" s="3">
        <f>+IFERROR(VLOOKUP(A37,'TB Final'!$A$4:$J$497,5,),0)</f>
        <v>0</v>
      </c>
      <c r="F37" s="3">
        <f>+IFERROR(VLOOKUP(A37,'TB Final'!$A$4:$J$497,8,),0)</f>
        <v>54681</v>
      </c>
      <c r="G37" s="12">
        <f t="shared" si="0"/>
        <v>0</v>
      </c>
      <c r="H37" s="12">
        <f t="shared" si="1"/>
        <v>0</v>
      </c>
      <c r="I37" s="12">
        <f t="shared" si="2"/>
        <v>0</v>
      </c>
    </row>
    <row r="38" spans="1:9">
      <c r="A38" s="5" t="s">
        <v>75</v>
      </c>
      <c r="B38" s="1017">
        <v>17500</v>
      </c>
      <c r="C38" s="1016"/>
      <c r="E38" s="3">
        <f>+IFERROR(VLOOKUP(A38,'TB Final'!$A$4:$J$497,5,),0)</f>
        <v>17500</v>
      </c>
      <c r="F38" s="3">
        <f>+IFERROR(VLOOKUP(A38,'TB Final'!$A$4:$J$497,8,),0)</f>
        <v>0</v>
      </c>
      <c r="G38" s="12">
        <f t="shared" si="0"/>
        <v>0</v>
      </c>
      <c r="H38" s="12">
        <f t="shared" si="1"/>
        <v>0</v>
      </c>
      <c r="I38" s="12">
        <f t="shared" si="2"/>
        <v>0</v>
      </c>
    </row>
    <row r="39" spans="1:9">
      <c r="A39" s="5" t="s">
        <v>76</v>
      </c>
      <c r="B39" s="1017">
        <v>3043560</v>
      </c>
      <c r="C39" s="1016"/>
      <c r="E39" s="3">
        <f>+IFERROR(VLOOKUP(A39,'TB Final'!$A$4:$J$497,5,),0)</f>
        <v>3043560</v>
      </c>
      <c r="F39" s="3">
        <f>+IFERROR(VLOOKUP(A39,'TB Final'!$A$4:$J$497,8,),0)</f>
        <v>0</v>
      </c>
      <c r="G39" s="12">
        <f t="shared" si="0"/>
        <v>0</v>
      </c>
      <c r="H39" s="12">
        <f t="shared" si="1"/>
        <v>0</v>
      </c>
      <c r="I39" s="12">
        <f t="shared" si="2"/>
        <v>0</v>
      </c>
    </row>
    <row r="40" spans="1:9">
      <c r="A40" s="5" t="s">
        <v>544</v>
      </c>
      <c r="B40" s="1017">
        <v>3329</v>
      </c>
      <c r="C40" s="1016"/>
      <c r="E40" s="3">
        <f>+IFERROR(VLOOKUP(A40,'TB Final'!$A$4:$J$497,5,),0)</f>
        <v>3329</v>
      </c>
      <c r="F40" s="3">
        <f>+IFERROR(VLOOKUP(A40,'TB Final'!$A$4:$J$497,8,),0)</f>
        <v>0</v>
      </c>
      <c r="G40" s="12">
        <f t="shared" si="0"/>
        <v>0</v>
      </c>
      <c r="H40" s="12">
        <f t="shared" si="1"/>
        <v>0</v>
      </c>
      <c r="I40" s="12">
        <f t="shared" si="2"/>
        <v>0</v>
      </c>
    </row>
    <row r="41" spans="1:9">
      <c r="A41" s="5" t="s">
        <v>545</v>
      </c>
      <c r="B41" s="1017">
        <v>64116710.619999997</v>
      </c>
      <c r="C41" s="1016"/>
      <c r="E41" s="3">
        <f>+IFERROR(VLOOKUP(A41,'TB Final'!$A$4:$J$497,5,),0)</f>
        <v>64116710.619999997</v>
      </c>
      <c r="F41" s="3">
        <f>+IFERROR(VLOOKUP(A41,'TB Final'!$A$4:$J$497,8,),0)</f>
        <v>0</v>
      </c>
      <c r="G41" s="12">
        <f t="shared" si="0"/>
        <v>0</v>
      </c>
      <c r="H41" s="12">
        <f t="shared" si="1"/>
        <v>0</v>
      </c>
      <c r="I41" s="12">
        <f t="shared" si="2"/>
        <v>0</v>
      </c>
    </row>
    <row r="42" spans="1:9">
      <c r="A42" s="5" t="s">
        <v>546</v>
      </c>
      <c r="B42" s="1017">
        <v>577328.1</v>
      </c>
      <c r="C42" s="1016"/>
      <c r="E42" s="3">
        <f>+IFERROR(VLOOKUP(A42,'TB Final'!$A$4:$J$497,5,),0)</f>
        <v>577328.1</v>
      </c>
      <c r="F42" s="3">
        <f>+IFERROR(VLOOKUP(A42,'TB Final'!$A$4:$J$497,8,),0)</f>
        <v>0</v>
      </c>
      <c r="G42" s="12">
        <f t="shared" si="0"/>
        <v>0</v>
      </c>
      <c r="H42" s="12">
        <f t="shared" si="1"/>
        <v>0</v>
      </c>
      <c r="I42" s="12">
        <f t="shared" si="2"/>
        <v>0</v>
      </c>
    </row>
    <row r="43" spans="1:9">
      <c r="A43" s="5" t="s">
        <v>41</v>
      </c>
      <c r="B43" s="1016"/>
      <c r="C43" s="1017">
        <v>1093393</v>
      </c>
      <c r="E43" s="3">
        <f>+IFERROR(VLOOKUP(A43,'TB Final'!$A$4:$J$497,5,),0)</f>
        <v>0</v>
      </c>
      <c r="F43" s="3">
        <f>+IFERROR(VLOOKUP(A43,'TB Final'!$A$4:$J$497,8,),0)</f>
        <v>1093393</v>
      </c>
      <c r="G43" s="12">
        <f t="shared" si="0"/>
        <v>0</v>
      </c>
      <c r="H43" s="12">
        <f t="shared" si="1"/>
        <v>0</v>
      </c>
      <c r="I43" s="12">
        <f t="shared" si="2"/>
        <v>0</v>
      </c>
    </row>
    <row r="44" spans="1:9">
      <c r="A44" s="5" t="s">
        <v>84</v>
      </c>
      <c r="B44" s="1016"/>
      <c r="C44" s="1017">
        <v>20413989</v>
      </c>
      <c r="E44" s="3">
        <f>+IFERROR(VLOOKUP(A44,'TB Final'!$A$4:$J$497,5,),0)</f>
        <v>0</v>
      </c>
      <c r="F44" s="3">
        <f>+IFERROR(VLOOKUP(A44,'TB Final'!$A$4:$J$497,8,),0)</f>
        <v>20413989</v>
      </c>
      <c r="G44" s="12">
        <f t="shared" si="0"/>
        <v>0</v>
      </c>
      <c r="H44" s="12">
        <f t="shared" si="1"/>
        <v>0</v>
      </c>
      <c r="I44" s="12">
        <f t="shared" si="2"/>
        <v>0</v>
      </c>
    </row>
    <row r="45" spans="1:9">
      <c r="A45" s="5" t="s">
        <v>89</v>
      </c>
      <c r="B45" s="1017">
        <v>492951</v>
      </c>
      <c r="C45" s="1016"/>
      <c r="E45" s="3">
        <f>+IFERROR(VLOOKUP(A45,'TB Final'!$A$4:$J$497,5,),0)</f>
        <v>492951</v>
      </c>
      <c r="F45" s="3">
        <f>+IFERROR(VLOOKUP(A45,'TB Final'!$A$4:$J$497,8,),0)</f>
        <v>0</v>
      </c>
      <c r="G45" s="12">
        <f t="shared" si="0"/>
        <v>0</v>
      </c>
      <c r="H45" s="12">
        <f t="shared" si="1"/>
        <v>0</v>
      </c>
      <c r="I45" s="12">
        <f t="shared" si="2"/>
        <v>0</v>
      </c>
    </row>
    <row r="46" spans="1:9">
      <c r="A46" s="5" t="s">
        <v>91</v>
      </c>
      <c r="B46" s="1017">
        <v>283443</v>
      </c>
      <c r="C46" s="1016"/>
      <c r="E46" s="3">
        <f>+IFERROR(VLOOKUP(A46,'TB Final'!$A$4:$J$497,5,),0)</f>
        <v>283443</v>
      </c>
      <c r="F46" s="3">
        <f>+IFERROR(VLOOKUP(A46,'TB Final'!$A$4:$J$497,8,),0)</f>
        <v>0</v>
      </c>
      <c r="G46" s="12">
        <f t="shared" si="0"/>
        <v>0</v>
      </c>
      <c r="H46" s="12">
        <f t="shared" si="1"/>
        <v>0</v>
      </c>
      <c r="I46" s="12">
        <f t="shared" si="2"/>
        <v>0</v>
      </c>
    </row>
    <row r="47" spans="1:9">
      <c r="A47" s="5" t="s">
        <v>92</v>
      </c>
      <c r="B47" s="1017">
        <v>234338</v>
      </c>
      <c r="C47" s="1016"/>
      <c r="E47" s="3">
        <f>+IFERROR(VLOOKUP(A47,'TB Final'!$A$4:$J$497,5,),0)</f>
        <v>234338</v>
      </c>
      <c r="F47" s="3">
        <f>+IFERROR(VLOOKUP(A47,'TB Final'!$A$4:$J$497,8,),0)</f>
        <v>0</v>
      </c>
      <c r="G47" s="12">
        <f t="shared" si="0"/>
        <v>0</v>
      </c>
      <c r="H47" s="12">
        <f t="shared" si="1"/>
        <v>0</v>
      </c>
      <c r="I47" s="12">
        <f t="shared" si="2"/>
        <v>0</v>
      </c>
    </row>
    <row r="48" spans="1:9">
      <c r="A48" s="5" t="s">
        <v>427</v>
      </c>
      <c r="B48" s="1017">
        <v>67144</v>
      </c>
      <c r="C48" s="1016"/>
      <c r="E48" s="3">
        <f>+IFERROR(VLOOKUP(A48,'TB Final'!$A$4:$J$497,5,),0)</f>
        <v>67144</v>
      </c>
      <c r="F48" s="3">
        <f>+IFERROR(VLOOKUP(A48,'TB Final'!$A$4:$J$497,8,),0)</f>
        <v>0</v>
      </c>
      <c r="G48" s="12">
        <f t="shared" si="0"/>
        <v>0</v>
      </c>
      <c r="H48" s="12">
        <f t="shared" si="1"/>
        <v>0</v>
      </c>
      <c r="I48" s="12">
        <f t="shared" si="2"/>
        <v>0</v>
      </c>
    </row>
    <row r="49" spans="1:9">
      <c r="A49" s="5" t="s">
        <v>547</v>
      </c>
      <c r="B49" s="1017">
        <v>230316</v>
      </c>
      <c r="C49" s="1016"/>
      <c r="E49" s="3">
        <f>+IFERROR(VLOOKUP(A49,'TB Final'!$A$4:$J$497,5,),0)</f>
        <v>230316</v>
      </c>
      <c r="F49" s="3">
        <f>+IFERROR(VLOOKUP(A49,'TB Final'!$A$4:$J$497,8,),0)</f>
        <v>0</v>
      </c>
      <c r="G49" s="12">
        <f t="shared" si="0"/>
        <v>0</v>
      </c>
      <c r="H49" s="12">
        <f t="shared" si="1"/>
        <v>0</v>
      </c>
      <c r="I49" s="12">
        <f t="shared" si="2"/>
        <v>0</v>
      </c>
    </row>
    <row r="50" spans="1:9">
      <c r="A50" s="5" t="s">
        <v>42</v>
      </c>
      <c r="B50" s="1016"/>
      <c r="C50" s="1017">
        <v>3880855</v>
      </c>
      <c r="E50" s="3">
        <f>+IFERROR(VLOOKUP(A50,'TB Final'!$A$4:$J$497,5,),0)</f>
        <v>0</v>
      </c>
      <c r="F50" s="3">
        <f>+IFERROR(VLOOKUP(A50,'TB Final'!$A$4:$J$497,8,),0)</f>
        <v>3880855</v>
      </c>
      <c r="G50" s="12">
        <f t="shared" si="0"/>
        <v>0</v>
      </c>
      <c r="H50" s="12">
        <f t="shared" si="1"/>
        <v>0</v>
      </c>
      <c r="I50" s="12">
        <f t="shared" si="2"/>
        <v>0</v>
      </c>
    </row>
    <row r="51" spans="1:9">
      <c r="A51" s="5" t="s">
        <v>26</v>
      </c>
      <c r="B51" s="1016"/>
      <c r="C51" s="1017">
        <v>6490</v>
      </c>
      <c r="E51" s="3">
        <f>+IFERROR(VLOOKUP(A51,'TB Final'!$A$4:$J$497,5,),0)</f>
        <v>0</v>
      </c>
      <c r="F51" s="3">
        <f>+IFERROR(VLOOKUP(A51,'TB Final'!$A$4:$J$497,8,),0)</f>
        <v>6490</v>
      </c>
      <c r="G51" s="12">
        <f t="shared" si="0"/>
        <v>0</v>
      </c>
      <c r="H51" s="12">
        <f t="shared" si="1"/>
        <v>0</v>
      </c>
      <c r="I51" s="12">
        <f t="shared" si="2"/>
        <v>0</v>
      </c>
    </row>
    <row r="52" spans="1:9">
      <c r="A52" s="5" t="s">
        <v>351</v>
      </c>
      <c r="B52" s="1017">
        <v>116981</v>
      </c>
      <c r="C52" s="1016"/>
      <c r="E52" s="3">
        <f>+IFERROR(VLOOKUP(A52,'TB Final'!$A$4:$J$497,5,),0)</f>
        <v>116981</v>
      </c>
      <c r="F52" s="3">
        <f>+IFERROR(VLOOKUP(A52,'TB Final'!$A$4:$J$497,8,),0)</f>
        <v>0</v>
      </c>
      <c r="G52" s="12">
        <f t="shared" si="0"/>
        <v>0</v>
      </c>
      <c r="H52" s="12">
        <f t="shared" si="1"/>
        <v>0</v>
      </c>
      <c r="I52" s="12">
        <f t="shared" si="2"/>
        <v>0</v>
      </c>
    </row>
    <row r="53" spans="1:9">
      <c r="A53" s="5" t="s">
        <v>548</v>
      </c>
      <c r="B53" s="1016"/>
      <c r="C53" s="1017">
        <v>3388226.94</v>
      </c>
      <c r="E53" s="3">
        <f>+IFERROR(VLOOKUP(A53,'TB Final'!$A$4:$J$497,5,),0)</f>
        <v>0</v>
      </c>
      <c r="F53" s="3">
        <f>+IFERROR(VLOOKUP(A53,'TB Final'!$A$4:$J$497,8,),0)</f>
        <v>3388226.94</v>
      </c>
      <c r="G53" s="12">
        <f t="shared" si="0"/>
        <v>0</v>
      </c>
      <c r="H53" s="12">
        <f t="shared" si="1"/>
        <v>0</v>
      </c>
      <c r="I53" s="12">
        <f t="shared" si="2"/>
        <v>0</v>
      </c>
    </row>
    <row r="54" spans="1:9">
      <c r="A54" s="5" t="s">
        <v>549</v>
      </c>
      <c r="B54" s="1017">
        <v>2263811.12</v>
      </c>
      <c r="C54" s="1016"/>
      <c r="E54" s="3">
        <f>+IFERROR(VLOOKUP(A54,'TB Final'!$A$4:$J$497,5,),0)</f>
        <v>2263811.12</v>
      </c>
      <c r="F54" s="3">
        <f>+IFERROR(VLOOKUP(A54,'TB Final'!$A$4:$J$497,8,),0)</f>
        <v>0</v>
      </c>
      <c r="G54" s="12">
        <f t="shared" si="0"/>
        <v>0</v>
      </c>
      <c r="H54" s="12">
        <f t="shared" si="1"/>
        <v>0</v>
      </c>
      <c r="I54" s="12">
        <f t="shared" si="2"/>
        <v>0</v>
      </c>
    </row>
    <row r="55" spans="1:9">
      <c r="A55" s="5" t="s">
        <v>430</v>
      </c>
      <c r="B55" s="1016"/>
      <c r="C55" s="1017">
        <v>3104070</v>
      </c>
      <c r="E55" s="3">
        <f>+IFERROR(VLOOKUP(A55,'TB Final'!$A$4:$J$497,5,),0)</f>
        <v>0</v>
      </c>
      <c r="F55" s="3">
        <f>+IFERROR(VLOOKUP(A55,'TB Final'!$A$4:$J$497,8,),0)</f>
        <v>3104070</v>
      </c>
      <c r="G55" s="12">
        <f t="shared" si="0"/>
        <v>0</v>
      </c>
      <c r="H55" s="12">
        <f t="shared" si="1"/>
        <v>0</v>
      </c>
      <c r="I55" s="12">
        <f t="shared" si="2"/>
        <v>0</v>
      </c>
    </row>
    <row r="56" spans="1:9">
      <c r="A56" s="5" t="s">
        <v>99</v>
      </c>
      <c r="B56" s="1017">
        <v>10899010</v>
      </c>
      <c r="C56" s="1016"/>
      <c r="E56" s="3">
        <f>+IFERROR(VLOOKUP(A56,'TB Final'!$A$4:$J$497,5,),0)</f>
        <v>10899010</v>
      </c>
      <c r="F56" s="3">
        <f>+IFERROR(VLOOKUP(A56,'TB Final'!$A$4:$J$497,8,),0)</f>
        <v>0</v>
      </c>
      <c r="G56" s="12">
        <f t="shared" si="0"/>
        <v>0</v>
      </c>
      <c r="H56" s="12">
        <f t="shared" si="1"/>
        <v>0</v>
      </c>
      <c r="I56" s="12">
        <f t="shared" si="2"/>
        <v>0</v>
      </c>
    </row>
    <row r="57" spans="1:9">
      <c r="A57" s="5" t="s">
        <v>100</v>
      </c>
      <c r="B57" s="1017">
        <v>305863</v>
      </c>
      <c r="C57" s="1016"/>
      <c r="E57" s="3">
        <f>+IFERROR(VLOOKUP(A57,'TB Final'!$A$4:$J$497,5,),0)</f>
        <v>305863</v>
      </c>
      <c r="F57" s="3">
        <f>+IFERROR(VLOOKUP(A57,'TB Final'!$A$4:$J$497,8,),0)</f>
        <v>0</v>
      </c>
      <c r="G57" s="12">
        <f t="shared" si="0"/>
        <v>0</v>
      </c>
      <c r="H57" s="12">
        <f t="shared" si="1"/>
        <v>0</v>
      </c>
      <c r="I57" s="12">
        <f t="shared" si="2"/>
        <v>0</v>
      </c>
    </row>
    <row r="58" spans="1:9">
      <c r="A58" s="5" t="s">
        <v>151</v>
      </c>
      <c r="B58" s="1017">
        <v>23000</v>
      </c>
      <c r="C58" s="1016"/>
      <c r="E58" s="3">
        <f>+IFERROR(VLOOKUP(A58,'TB Final'!$A$4:$J$497,5,),0)</f>
        <v>23000</v>
      </c>
      <c r="F58" s="3">
        <f>+IFERROR(VLOOKUP(A58,'TB Final'!$A$4:$J$497,8,),0)</f>
        <v>0</v>
      </c>
      <c r="G58" s="12">
        <f t="shared" si="0"/>
        <v>0</v>
      </c>
      <c r="H58" s="12">
        <f t="shared" si="1"/>
        <v>0</v>
      </c>
      <c r="I58" s="12">
        <f t="shared" si="2"/>
        <v>0</v>
      </c>
    </row>
    <row r="59" spans="1:9">
      <c r="A59" s="5" t="s">
        <v>101</v>
      </c>
      <c r="B59" s="1017">
        <v>51776100</v>
      </c>
      <c r="C59" s="1016"/>
      <c r="E59" s="3">
        <f>+IFERROR(VLOOKUP(A59,'TB Final'!$A$4:$J$497,5,),0)</f>
        <v>51776100</v>
      </c>
      <c r="F59" s="3">
        <f>+IFERROR(VLOOKUP(A59,'TB Final'!$A$4:$J$497,8,),0)</f>
        <v>0</v>
      </c>
      <c r="G59" s="12">
        <f t="shared" si="0"/>
        <v>0</v>
      </c>
      <c r="H59" s="12">
        <f t="shared" si="1"/>
        <v>0</v>
      </c>
      <c r="I59" s="12">
        <f t="shared" si="2"/>
        <v>0</v>
      </c>
    </row>
    <row r="60" spans="1:9">
      <c r="A60" s="5" t="s">
        <v>550</v>
      </c>
      <c r="B60" s="1017">
        <v>456870</v>
      </c>
      <c r="C60" s="1016"/>
      <c r="E60" s="3">
        <f>+IFERROR(VLOOKUP(A60,'TB Final'!$A$4:$J$497,5,),0)</f>
        <v>456870</v>
      </c>
      <c r="F60" s="3">
        <f>+IFERROR(VLOOKUP(A60,'TB Final'!$A$4:$J$497,8,),0)</f>
        <v>0</v>
      </c>
      <c r="G60" s="12">
        <f t="shared" si="0"/>
        <v>0</v>
      </c>
      <c r="H60" s="12">
        <f t="shared" si="1"/>
        <v>0</v>
      </c>
      <c r="I60" s="12">
        <f t="shared" si="2"/>
        <v>0</v>
      </c>
    </row>
    <row r="61" spans="1:9">
      <c r="A61" s="5" t="s">
        <v>106</v>
      </c>
      <c r="B61" s="1017">
        <v>42501627</v>
      </c>
      <c r="C61" s="1016"/>
      <c r="E61" s="3">
        <f>+IFERROR(VLOOKUP(A61,'TB Final'!$A$4:$J$497,5,),0)</f>
        <v>42501627</v>
      </c>
      <c r="F61" s="3">
        <f>+IFERROR(VLOOKUP(A61,'TB Final'!$A$4:$J$497,8,),0)</f>
        <v>0</v>
      </c>
      <c r="G61" s="12">
        <f t="shared" si="0"/>
        <v>0</v>
      </c>
      <c r="H61" s="12">
        <f t="shared" si="1"/>
        <v>0</v>
      </c>
      <c r="I61" s="12">
        <f t="shared" si="2"/>
        <v>0</v>
      </c>
    </row>
    <row r="62" spans="1:9">
      <c r="A62" s="5" t="s">
        <v>2761</v>
      </c>
      <c r="B62" s="1017">
        <v>2760009</v>
      </c>
      <c r="C62" s="1016"/>
      <c r="E62" s="3">
        <f>+IFERROR(VLOOKUP(A62,'TB Final'!$A$4:$J$497,5,),0)</f>
        <v>2760009</v>
      </c>
      <c r="F62" s="3">
        <f>+IFERROR(VLOOKUP(A62,'TB Final'!$A$4:$J$497,8,),0)</f>
        <v>0</v>
      </c>
      <c r="G62" s="12">
        <f t="shared" si="0"/>
        <v>0</v>
      </c>
      <c r="H62" s="12">
        <f t="shared" si="1"/>
        <v>0</v>
      </c>
      <c r="I62" s="12">
        <f t="shared" si="2"/>
        <v>0</v>
      </c>
    </row>
    <row r="63" spans="1:9">
      <c r="A63" s="5" t="s">
        <v>108</v>
      </c>
      <c r="B63" s="1017">
        <v>39341063.259999998</v>
      </c>
      <c r="C63" s="1016"/>
      <c r="E63" s="3">
        <f>+IFERROR(VLOOKUP(A63,'TB Final'!$A$4:$J$497,5,),0)</f>
        <v>39341063.259999998</v>
      </c>
      <c r="F63" s="3">
        <f>+IFERROR(VLOOKUP(A63,'TB Final'!$A$4:$J$497,8,),0)</f>
        <v>0</v>
      </c>
      <c r="G63" s="12">
        <f t="shared" si="0"/>
        <v>0</v>
      </c>
      <c r="H63" s="12">
        <f t="shared" si="1"/>
        <v>0</v>
      </c>
      <c r="I63" s="12">
        <f t="shared" si="2"/>
        <v>0</v>
      </c>
    </row>
    <row r="64" spans="1:9">
      <c r="A64" s="5" t="s">
        <v>432</v>
      </c>
      <c r="B64" s="1017">
        <v>1585770</v>
      </c>
      <c r="C64" s="1016"/>
      <c r="E64" s="3">
        <f>+IFERROR(VLOOKUP(A64,'TB Final'!$A$4:$J$497,5,),0)</f>
        <v>1585770</v>
      </c>
      <c r="F64" s="3">
        <f>+IFERROR(VLOOKUP(A64,'TB Final'!$A$4:$J$497,8,),0)</f>
        <v>0</v>
      </c>
      <c r="G64" s="12">
        <f t="shared" si="0"/>
        <v>0</v>
      </c>
      <c r="H64" s="12">
        <f t="shared" si="1"/>
        <v>0</v>
      </c>
      <c r="I64" s="12">
        <f t="shared" si="2"/>
        <v>0</v>
      </c>
    </row>
    <row r="65" spans="1:9">
      <c r="A65" s="5" t="s">
        <v>109</v>
      </c>
      <c r="B65" s="1017">
        <v>898435.7</v>
      </c>
      <c r="C65" s="1016"/>
      <c r="E65" s="3">
        <f>+IFERROR(VLOOKUP(A65,'TB Final'!$A$4:$J$497,5,),0)</f>
        <v>898435.7</v>
      </c>
      <c r="F65" s="3">
        <f>+IFERROR(VLOOKUP(A65,'TB Final'!$A$4:$J$497,8,),0)</f>
        <v>0</v>
      </c>
      <c r="G65" s="12">
        <f t="shared" si="0"/>
        <v>0</v>
      </c>
      <c r="H65" s="12">
        <f t="shared" si="1"/>
        <v>0</v>
      </c>
      <c r="I65" s="12">
        <f t="shared" si="2"/>
        <v>0</v>
      </c>
    </row>
    <row r="66" spans="1:9">
      <c r="A66" s="5" t="s">
        <v>110</v>
      </c>
      <c r="B66" s="1017">
        <v>7000</v>
      </c>
      <c r="C66" s="1016"/>
      <c r="E66" s="3">
        <f>+IFERROR(VLOOKUP(A66,'TB Final'!$A$4:$J$497,5,),0)</f>
        <v>7000</v>
      </c>
      <c r="F66" s="3">
        <f>+IFERROR(VLOOKUP(A66,'TB Final'!$A$4:$J$497,8,),0)</f>
        <v>0</v>
      </c>
      <c r="G66" s="12">
        <f t="shared" si="0"/>
        <v>0</v>
      </c>
      <c r="H66" s="12">
        <f t="shared" si="1"/>
        <v>0</v>
      </c>
      <c r="I66" s="12">
        <f t="shared" si="2"/>
        <v>0</v>
      </c>
    </row>
    <row r="67" spans="1:9">
      <c r="A67" s="5" t="s">
        <v>112</v>
      </c>
      <c r="B67" s="1017">
        <v>302862</v>
      </c>
      <c r="C67" s="1016"/>
      <c r="E67" s="3">
        <f>+IFERROR(VLOOKUP(A67,'TB Final'!$A$4:$J$497,5,),0)</f>
        <v>302862</v>
      </c>
      <c r="F67" s="3">
        <f>+IFERROR(VLOOKUP(A67,'TB Final'!$A$4:$J$497,8,),0)</f>
        <v>0</v>
      </c>
      <c r="G67" s="12">
        <f t="shared" si="0"/>
        <v>0</v>
      </c>
      <c r="H67" s="12">
        <f t="shared" si="1"/>
        <v>0</v>
      </c>
      <c r="I67" s="12">
        <f t="shared" si="2"/>
        <v>0</v>
      </c>
    </row>
    <row r="68" spans="1:9">
      <c r="A68" s="5" t="s">
        <v>113</v>
      </c>
      <c r="B68" s="1016"/>
      <c r="C68" s="1017">
        <v>23072</v>
      </c>
      <c r="E68" s="3">
        <f>+IFERROR(VLOOKUP(A68,'TB Final'!$A$4:$J$497,5,),0)</f>
        <v>0</v>
      </c>
      <c r="F68" s="3">
        <f>+IFERROR(VLOOKUP(A68,'TB Final'!$A$4:$J$497,8,),0)</f>
        <v>23072</v>
      </c>
      <c r="G68" s="12">
        <f t="shared" si="0"/>
        <v>0</v>
      </c>
      <c r="H68" s="12">
        <f t="shared" si="1"/>
        <v>0</v>
      </c>
      <c r="I68" s="12">
        <f t="shared" si="2"/>
        <v>0</v>
      </c>
    </row>
    <row r="69" spans="1:9">
      <c r="A69" s="5" t="s">
        <v>551</v>
      </c>
      <c r="B69" s="1016"/>
      <c r="C69" s="1017">
        <v>202410</v>
      </c>
      <c r="E69" s="3">
        <f>+IFERROR(VLOOKUP(A69,'TB Final'!$A$4:$J$497,5,),0)</f>
        <v>0</v>
      </c>
      <c r="F69" s="3">
        <f>+IFERROR(VLOOKUP(A69,'TB Final'!$A$4:$J$497,8,),0)</f>
        <v>202410</v>
      </c>
      <c r="G69" s="12">
        <f t="shared" si="0"/>
        <v>0</v>
      </c>
      <c r="H69" s="12">
        <f t="shared" si="1"/>
        <v>0</v>
      </c>
      <c r="I69" s="12">
        <f t="shared" si="2"/>
        <v>0</v>
      </c>
    </row>
    <row r="70" spans="1:9">
      <c r="A70" s="5" t="s">
        <v>552</v>
      </c>
      <c r="B70" s="1017">
        <v>59948</v>
      </c>
      <c r="C70" s="1016"/>
      <c r="E70" s="3">
        <f>+IFERROR(VLOOKUP(A70,'TB Final'!$A$4:$J$497,5,),0)</f>
        <v>59948</v>
      </c>
      <c r="F70" s="3">
        <f>+IFERROR(VLOOKUP(A70,'TB Final'!$A$4:$J$497,8,),0)</f>
        <v>0</v>
      </c>
      <c r="G70" s="12">
        <f t="shared" si="0"/>
        <v>0</v>
      </c>
      <c r="H70" s="12">
        <f t="shared" si="1"/>
        <v>0</v>
      </c>
      <c r="I70" s="12">
        <f t="shared" si="2"/>
        <v>0</v>
      </c>
    </row>
    <row r="71" spans="1:9">
      <c r="A71" s="5" t="s">
        <v>553</v>
      </c>
      <c r="B71" s="1017">
        <v>32087</v>
      </c>
      <c r="C71" s="1016"/>
      <c r="E71" s="3">
        <f>+IFERROR(VLOOKUP(A71,'TB Final'!$A$4:$J$497,5,),0)</f>
        <v>32087</v>
      </c>
      <c r="F71" s="3">
        <f>+IFERROR(VLOOKUP(A71,'TB Final'!$A$4:$J$497,8,),0)</f>
        <v>0</v>
      </c>
      <c r="G71" s="12">
        <f t="shared" si="0"/>
        <v>0</v>
      </c>
      <c r="H71" s="12">
        <f t="shared" si="1"/>
        <v>0</v>
      </c>
      <c r="I71" s="12">
        <f t="shared" si="2"/>
        <v>0</v>
      </c>
    </row>
    <row r="72" spans="1:9">
      <c r="A72" s="5" t="s">
        <v>554</v>
      </c>
      <c r="B72" s="1017">
        <v>64117</v>
      </c>
      <c r="C72" s="1016"/>
      <c r="E72" s="3">
        <f>+IFERROR(VLOOKUP(A72,'TB Final'!$A$4:$J$497,5,),0)</f>
        <v>64117</v>
      </c>
      <c r="F72" s="3">
        <f>+IFERROR(VLOOKUP(A72,'TB Final'!$A$4:$J$497,8,),0)</f>
        <v>0</v>
      </c>
      <c r="G72" s="12">
        <f t="shared" si="0"/>
        <v>0</v>
      </c>
      <c r="H72" s="12">
        <f t="shared" si="1"/>
        <v>0</v>
      </c>
      <c r="I72" s="12">
        <f t="shared" si="2"/>
        <v>0</v>
      </c>
    </row>
    <row r="73" spans="1:9">
      <c r="A73" s="5" t="s">
        <v>435</v>
      </c>
      <c r="B73" s="1017">
        <v>5672492</v>
      </c>
      <c r="C73" s="1016"/>
      <c r="E73" s="3">
        <f>+IFERROR(VLOOKUP(A73,'TB Final'!$A$4:$J$497,5,),0)</f>
        <v>5672492</v>
      </c>
      <c r="F73" s="3">
        <f>+IFERROR(VLOOKUP(A73,'TB Final'!$A$4:$J$497,8,),0)</f>
        <v>0</v>
      </c>
      <c r="G73" s="12">
        <f t="shared" si="0"/>
        <v>0</v>
      </c>
      <c r="H73" s="12">
        <f t="shared" si="1"/>
        <v>0</v>
      </c>
      <c r="I73" s="12">
        <f t="shared" si="2"/>
        <v>0</v>
      </c>
    </row>
    <row r="74" spans="1:9">
      <c r="A74" s="5" t="s">
        <v>2935</v>
      </c>
      <c r="B74" s="1017">
        <v>419631</v>
      </c>
      <c r="C74" s="1016"/>
      <c r="E74" s="3">
        <f>+IFERROR(VLOOKUP(A74,'TB Final'!$A$4:$J$497,5,),0)</f>
        <v>419631</v>
      </c>
      <c r="F74" s="3">
        <f>+IFERROR(VLOOKUP(A74,'TB Final'!$A$4:$J$497,8,),0)</f>
        <v>0</v>
      </c>
      <c r="G74" s="12">
        <f t="shared" si="0"/>
        <v>0</v>
      </c>
      <c r="H74" s="12">
        <f t="shared" si="1"/>
        <v>0</v>
      </c>
      <c r="I74" s="12">
        <f t="shared" si="2"/>
        <v>0</v>
      </c>
    </row>
    <row r="75" spans="1:9">
      <c r="A75" s="5" t="s">
        <v>492</v>
      </c>
      <c r="B75" s="1016"/>
      <c r="C75" s="1017">
        <v>24831</v>
      </c>
      <c r="E75" s="3">
        <f>+IFERROR(VLOOKUP(A75,'TB Final'!$A$4:$J$497,5,),0)</f>
        <v>0</v>
      </c>
      <c r="F75" s="3">
        <f>+IFERROR(VLOOKUP(A75,'TB Final'!$A$4:$J$497,8,),0)</f>
        <v>24831</v>
      </c>
      <c r="G75" s="12">
        <f t="shared" si="0"/>
        <v>0</v>
      </c>
      <c r="H75" s="12">
        <f t="shared" si="1"/>
        <v>0</v>
      </c>
      <c r="I75" s="12">
        <f t="shared" si="2"/>
        <v>0</v>
      </c>
    </row>
    <row r="76" spans="1:9">
      <c r="A76" s="5" t="s">
        <v>123</v>
      </c>
      <c r="B76" s="1016"/>
      <c r="C76" s="1017">
        <v>7452127</v>
      </c>
      <c r="E76" s="3">
        <f>+IFERROR(VLOOKUP(A76,'TB Final'!$A$4:$J$497,5,),0)</f>
        <v>0</v>
      </c>
      <c r="F76" s="3">
        <f>+IFERROR(VLOOKUP(A76,'TB Final'!$A$4:$J$497,8,),0)</f>
        <v>7452127</v>
      </c>
      <c r="G76" s="12">
        <f t="shared" si="0"/>
        <v>0</v>
      </c>
      <c r="H76" s="12">
        <f t="shared" si="1"/>
        <v>0</v>
      </c>
      <c r="I76" s="12">
        <f t="shared" si="2"/>
        <v>0</v>
      </c>
    </row>
    <row r="77" spans="1:9">
      <c r="A77" s="5" t="s">
        <v>124</v>
      </c>
      <c r="B77" s="1016"/>
      <c r="C77" s="1017">
        <v>16151130</v>
      </c>
      <c r="E77" s="3">
        <f>+IFERROR(VLOOKUP(A77,'TB Final'!$A$4:$J$497,5,),0)</f>
        <v>0</v>
      </c>
      <c r="F77" s="3">
        <f>+IFERROR(VLOOKUP(A77,'TB Final'!$A$4:$J$497,8,),0)</f>
        <v>16151130</v>
      </c>
      <c r="G77" s="12">
        <f t="shared" ref="G77:G140" si="3">+B77-E77</f>
        <v>0</v>
      </c>
      <c r="H77" s="12">
        <f t="shared" ref="H77:H140" si="4">+C77-F77</f>
        <v>0</v>
      </c>
      <c r="I77" s="12">
        <f t="shared" ref="I77:I140" si="5">+SUM(G77:H77)</f>
        <v>0</v>
      </c>
    </row>
    <row r="78" spans="1:9">
      <c r="A78" s="5" t="s">
        <v>127</v>
      </c>
      <c r="B78" s="1017">
        <v>1153920</v>
      </c>
      <c r="C78" s="1016"/>
      <c r="E78" s="3">
        <f>+IFERROR(VLOOKUP(A78,'TB Final'!$A$4:$J$497,5,),0)</f>
        <v>1153920</v>
      </c>
      <c r="F78" s="3">
        <f>+IFERROR(VLOOKUP(A78,'TB Final'!$A$4:$J$497,8,),0)</f>
        <v>0</v>
      </c>
      <c r="G78" s="12">
        <f t="shared" si="3"/>
        <v>0</v>
      </c>
      <c r="H78" s="12">
        <f t="shared" si="4"/>
        <v>0</v>
      </c>
      <c r="I78" s="12">
        <f t="shared" si="5"/>
        <v>0</v>
      </c>
    </row>
    <row r="79" spans="1:9">
      <c r="A79" s="5" t="s">
        <v>128</v>
      </c>
      <c r="B79" s="1017">
        <v>6800</v>
      </c>
      <c r="C79" s="1016"/>
      <c r="E79" s="3">
        <f>+IFERROR(VLOOKUP(A79,'TB Final'!$A$4:$J$497,5,),0)</f>
        <v>6800</v>
      </c>
      <c r="F79" s="3">
        <f>+IFERROR(VLOOKUP(A79,'TB Final'!$A$4:$J$497,8,),0)</f>
        <v>0</v>
      </c>
      <c r="G79" s="12">
        <f t="shared" si="3"/>
        <v>0</v>
      </c>
      <c r="H79" s="12">
        <f t="shared" si="4"/>
        <v>0</v>
      </c>
      <c r="I79" s="12">
        <f t="shared" si="5"/>
        <v>0</v>
      </c>
    </row>
    <row r="80" spans="1:9">
      <c r="A80" s="5" t="s">
        <v>555</v>
      </c>
      <c r="B80" s="1017">
        <v>200000</v>
      </c>
      <c r="C80" s="1016"/>
      <c r="E80" s="3">
        <f>+IFERROR(VLOOKUP(A80,'TB Final'!$A$4:$J$497,5,),0)</f>
        <v>200000</v>
      </c>
      <c r="F80" s="3">
        <f>+IFERROR(VLOOKUP(A80,'TB Final'!$A$4:$J$497,8,),0)</f>
        <v>0</v>
      </c>
      <c r="G80" s="12">
        <f t="shared" si="3"/>
        <v>0</v>
      </c>
      <c r="H80" s="12">
        <f t="shared" si="4"/>
        <v>0</v>
      </c>
      <c r="I80" s="12">
        <f t="shared" si="5"/>
        <v>0</v>
      </c>
    </row>
    <row r="81" spans="1:9">
      <c r="A81" s="5" t="s">
        <v>556</v>
      </c>
      <c r="B81" s="1017">
        <v>10777</v>
      </c>
      <c r="C81" s="1016"/>
      <c r="E81" s="3">
        <f>+IFERROR(VLOOKUP(A81,'TB Final'!$A$4:$J$497,5,),0)</f>
        <v>10777</v>
      </c>
      <c r="F81" s="3">
        <f>+IFERROR(VLOOKUP(A81,'TB Final'!$A$4:$J$497,8,),0)</f>
        <v>0</v>
      </c>
      <c r="G81" s="12">
        <f t="shared" si="3"/>
        <v>0</v>
      </c>
      <c r="H81" s="12">
        <f t="shared" si="4"/>
        <v>0</v>
      </c>
      <c r="I81" s="12">
        <f t="shared" si="5"/>
        <v>0</v>
      </c>
    </row>
    <row r="82" spans="1:9">
      <c r="A82" s="5" t="s">
        <v>140</v>
      </c>
      <c r="B82" s="1017">
        <v>453851</v>
      </c>
      <c r="C82" s="1016"/>
      <c r="E82" s="3">
        <f>+IFERROR(VLOOKUP(A82,'TB Final'!$A$4:$J$497,5,),0)</f>
        <v>453851</v>
      </c>
      <c r="F82" s="3">
        <f>+IFERROR(VLOOKUP(A82,'TB Final'!$A$4:$J$497,8,),0)</f>
        <v>0</v>
      </c>
      <c r="G82" s="12">
        <f t="shared" si="3"/>
        <v>0</v>
      </c>
      <c r="H82" s="12">
        <f t="shared" si="4"/>
        <v>0</v>
      </c>
      <c r="I82" s="12">
        <f t="shared" si="5"/>
        <v>0</v>
      </c>
    </row>
    <row r="83" spans="1:9">
      <c r="A83" s="5" t="s">
        <v>141</v>
      </c>
      <c r="B83" s="1017">
        <v>5073205</v>
      </c>
      <c r="C83" s="1016"/>
      <c r="E83" s="3">
        <f>+IFERROR(VLOOKUP(A83,'TB Final'!$A$4:$J$497,5,),0)</f>
        <v>5073205</v>
      </c>
      <c r="F83" s="3">
        <f>+IFERROR(VLOOKUP(A83,'TB Final'!$A$4:$J$497,8,),0)</f>
        <v>0</v>
      </c>
      <c r="G83" s="12">
        <f t="shared" si="3"/>
        <v>0</v>
      </c>
      <c r="H83" s="12">
        <f t="shared" si="4"/>
        <v>0</v>
      </c>
      <c r="I83" s="12">
        <f t="shared" si="5"/>
        <v>0</v>
      </c>
    </row>
    <row r="84" spans="1:9">
      <c r="A84" s="5" t="s">
        <v>133</v>
      </c>
      <c r="B84" s="1017">
        <v>250000</v>
      </c>
      <c r="C84" s="1016"/>
      <c r="E84" s="3">
        <f>+IFERROR(VLOOKUP(A84,'TB Final'!$A$4:$J$497,5,),0)</f>
        <v>250000</v>
      </c>
      <c r="F84" s="3">
        <f>+IFERROR(VLOOKUP(A84,'TB Final'!$A$4:$J$497,8,),0)</f>
        <v>0</v>
      </c>
      <c r="G84" s="12">
        <f t="shared" si="3"/>
        <v>0</v>
      </c>
      <c r="H84" s="12">
        <f t="shared" si="4"/>
        <v>0</v>
      </c>
      <c r="I84" s="12">
        <f t="shared" si="5"/>
        <v>0</v>
      </c>
    </row>
    <row r="85" spans="1:9">
      <c r="A85" s="5" t="s">
        <v>134</v>
      </c>
      <c r="B85" s="1017">
        <v>3522100</v>
      </c>
      <c r="C85" s="1016"/>
      <c r="E85" s="3">
        <f>+IFERROR(VLOOKUP(A85,'TB Final'!$A$4:$J$497,5,),0)</f>
        <v>3522100</v>
      </c>
      <c r="F85" s="3">
        <f>+IFERROR(VLOOKUP(A85,'TB Final'!$A$4:$J$497,8,),0)</f>
        <v>0</v>
      </c>
      <c r="G85" s="12">
        <f t="shared" si="3"/>
        <v>0</v>
      </c>
      <c r="H85" s="12">
        <f t="shared" si="4"/>
        <v>0</v>
      </c>
      <c r="I85" s="12">
        <f t="shared" si="5"/>
        <v>0</v>
      </c>
    </row>
    <row r="86" spans="1:9">
      <c r="A86" s="5" t="s">
        <v>557</v>
      </c>
      <c r="B86" s="1017">
        <v>900000</v>
      </c>
      <c r="C86" s="1016"/>
      <c r="E86" s="3">
        <f>+IFERROR(VLOOKUP(A86,'TB Final'!$A$4:$J$497,5,),0)</f>
        <v>900000</v>
      </c>
      <c r="F86" s="3">
        <f>+IFERROR(VLOOKUP(A86,'TB Final'!$A$4:$J$497,8,),0)</f>
        <v>0</v>
      </c>
      <c r="G86" s="12">
        <f t="shared" si="3"/>
        <v>0</v>
      </c>
      <c r="H86" s="12">
        <f t="shared" si="4"/>
        <v>0</v>
      </c>
      <c r="I86" s="12">
        <f t="shared" si="5"/>
        <v>0</v>
      </c>
    </row>
    <row r="87" spans="1:9">
      <c r="A87" s="5" t="s">
        <v>132</v>
      </c>
      <c r="B87" s="1017">
        <v>225820</v>
      </c>
      <c r="C87" s="1016"/>
      <c r="E87" s="3">
        <f>+IFERROR(VLOOKUP(A87,'TB Final'!$A$4:$J$497,5,),0)</f>
        <v>225820</v>
      </c>
      <c r="F87" s="3">
        <f>+IFERROR(VLOOKUP(A87,'TB Final'!$A$4:$J$497,8,),0)</f>
        <v>0</v>
      </c>
      <c r="G87" s="12">
        <f t="shared" si="3"/>
        <v>0</v>
      </c>
      <c r="H87" s="12">
        <f t="shared" si="4"/>
        <v>0</v>
      </c>
      <c r="I87" s="12">
        <f t="shared" si="5"/>
        <v>0</v>
      </c>
    </row>
    <row r="88" spans="1:9">
      <c r="A88" s="5" t="s">
        <v>135</v>
      </c>
      <c r="B88" s="1017">
        <v>150294</v>
      </c>
      <c r="C88" s="1016"/>
      <c r="E88" s="3">
        <f>+IFERROR(VLOOKUP(A88,'TB Final'!$A$4:$J$497,5,),0)</f>
        <v>150294</v>
      </c>
      <c r="F88" s="3">
        <f>+IFERROR(VLOOKUP(A88,'TB Final'!$A$4:$J$497,8,),0)</f>
        <v>0</v>
      </c>
      <c r="G88" s="12">
        <f t="shared" si="3"/>
        <v>0</v>
      </c>
      <c r="H88" s="12">
        <f t="shared" si="4"/>
        <v>0</v>
      </c>
      <c r="I88" s="12">
        <f t="shared" si="5"/>
        <v>0</v>
      </c>
    </row>
    <row r="89" spans="1:9">
      <c r="A89" s="5" t="s">
        <v>142</v>
      </c>
      <c r="B89" s="1017">
        <v>1857088</v>
      </c>
      <c r="C89" s="1016"/>
      <c r="E89" s="3">
        <f>+IFERROR(VLOOKUP(A89,'TB Final'!$A$4:$J$497,5,),0)</f>
        <v>1857088</v>
      </c>
      <c r="F89" s="3">
        <f>+IFERROR(VLOOKUP(A89,'TB Final'!$A$4:$J$497,8,),0)</f>
        <v>0</v>
      </c>
      <c r="G89" s="12">
        <f t="shared" si="3"/>
        <v>0</v>
      </c>
      <c r="H89" s="12">
        <f t="shared" si="4"/>
        <v>0</v>
      </c>
      <c r="I89" s="12">
        <f t="shared" si="5"/>
        <v>0</v>
      </c>
    </row>
    <row r="90" spans="1:9">
      <c r="A90" s="5" t="s">
        <v>558</v>
      </c>
      <c r="B90" s="1017">
        <v>1989109</v>
      </c>
      <c r="C90" s="1016"/>
      <c r="E90" s="3">
        <f>+IFERROR(VLOOKUP(A90,'TB Final'!$A$4:$J$497,5,),0)</f>
        <v>1989109</v>
      </c>
      <c r="F90" s="3">
        <f>+IFERROR(VLOOKUP(A90,'TB Final'!$A$4:$J$497,8,),0)</f>
        <v>0</v>
      </c>
      <c r="G90" s="12">
        <f t="shared" si="3"/>
        <v>0</v>
      </c>
      <c r="H90" s="12">
        <f t="shared" si="4"/>
        <v>0</v>
      </c>
      <c r="I90" s="12">
        <f t="shared" si="5"/>
        <v>0</v>
      </c>
    </row>
    <row r="91" spans="1:9">
      <c r="A91" s="5" t="s">
        <v>559</v>
      </c>
      <c r="B91" s="1017">
        <v>45170</v>
      </c>
      <c r="C91" s="1016"/>
      <c r="E91" s="3">
        <f>+IFERROR(VLOOKUP(A91,'TB Final'!$A$4:$J$497,5,),0)</f>
        <v>45170</v>
      </c>
      <c r="F91" s="3">
        <f>+IFERROR(VLOOKUP(A91,'TB Final'!$A$4:$J$497,8,),0)</f>
        <v>0</v>
      </c>
      <c r="G91" s="12">
        <f t="shared" si="3"/>
        <v>0</v>
      </c>
      <c r="H91" s="12">
        <f t="shared" si="4"/>
        <v>0</v>
      </c>
      <c r="I91" s="12">
        <f t="shared" si="5"/>
        <v>0</v>
      </c>
    </row>
    <row r="92" spans="1:9">
      <c r="A92" s="5" t="s">
        <v>147</v>
      </c>
      <c r="B92" s="1017">
        <v>56194</v>
      </c>
      <c r="C92" s="1016"/>
      <c r="E92" s="3">
        <f>+IFERROR(VLOOKUP(A92,'TB Final'!$A$4:$J$497,5,),0)</f>
        <v>56194</v>
      </c>
      <c r="F92" s="3">
        <f>+IFERROR(VLOOKUP(A92,'TB Final'!$A$4:$J$497,8,),0)</f>
        <v>0</v>
      </c>
      <c r="G92" s="12">
        <f t="shared" si="3"/>
        <v>0</v>
      </c>
      <c r="H92" s="12">
        <f t="shared" si="4"/>
        <v>0</v>
      </c>
      <c r="I92" s="12">
        <f t="shared" si="5"/>
        <v>0</v>
      </c>
    </row>
    <row r="93" spans="1:9">
      <c r="A93" s="5" t="s">
        <v>148</v>
      </c>
      <c r="B93" s="1017">
        <v>114072</v>
      </c>
      <c r="C93" s="1016"/>
      <c r="E93" s="3">
        <f>+IFERROR(VLOOKUP(A93,'TB Final'!$A$4:$J$497,5,),0)</f>
        <v>114072</v>
      </c>
      <c r="F93" s="3">
        <f>+IFERROR(VLOOKUP(A93,'TB Final'!$A$4:$J$497,8,),0)</f>
        <v>0</v>
      </c>
      <c r="G93" s="12">
        <f t="shared" si="3"/>
        <v>0</v>
      </c>
      <c r="H93" s="12">
        <f t="shared" si="4"/>
        <v>0</v>
      </c>
      <c r="I93" s="12">
        <f t="shared" si="5"/>
        <v>0</v>
      </c>
    </row>
    <row r="94" spans="1:9">
      <c r="A94" s="5" t="s">
        <v>560</v>
      </c>
      <c r="B94" s="1017">
        <v>13650885</v>
      </c>
      <c r="C94" s="1016"/>
      <c r="E94" s="3">
        <f>+IFERROR(VLOOKUP(A94,'TB Final'!$A$4:$J$497,5,),0)</f>
        <v>13650885</v>
      </c>
      <c r="F94" s="3">
        <f>+IFERROR(VLOOKUP(A94,'TB Final'!$A$4:$J$497,8,),0)</f>
        <v>0</v>
      </c>
      <c r="G94" s="12">
        <f t="shared" si="3"/>
        <v>0</v>
      </c>
      <c r="H94" s="12">
        <f t="shared" si="4"/>
        <v>0</v>
      </c>
      <c r="I94" s="12">
        <f t="shared" si="5"/>
        <v>0</v>
      </c>
    </row>
    <row r="95" spans="1:9">
      <c r="A95" s="5" t="s">
        <v>150</v>
      </c>
      <c r="B95" s="1017">
        <v>369149</v>
      </c>
      <c r="C95" s="1016"/>
      <c r="E95" s="3">
        <f>+IFERROR(VLOOKUP(A95,'TB Final'!$A$4:$J$497,5,),0)</f>
        <v>369149</v>
      </c>
      <c r="F95" s="3">
        <f>+IFERROR(VLOOKUP(A95,'TB Final'!$A$4:$J$497,8,),0)</f>
        <v>0</v>
      </c>
      <c r="G95" s="12">
        <f t="shared" si="3"/>
        <v>0</v>
      </c>
      <c r="H95" s="12">
        <f t="shared" si="4"/>
        <v>0</v>
      </c>
      <c r="I95" s="12">
        <f t="shared" si="5"/>
        <v>0</v>
      </c>
    </row>
    <row r="96" spans="1:9">
      <c r="A96" s="5" t="s">
        <v>152</v>
      </c>
      <c r="B96" s="1016"/>
      <c r="C96" s="1017">
        <v>29160</v>
      </c>
      <c r="E96" s="3">
        <f>+IFERROR(VLOOKUP(A96,'TB Final'!$A$4:$J$497,5,),0)</f>
        <v>0</v>
      </c>
      <c r="F96" s="3">
        <f>+IFERROR(VLOOKUP(A96,'TB Final'!$A$4:$J$497,8,),0)</f>
        <v>29160</v>
      </c>
      <c r="G96" s="12">
        <f t="shared" si="3"/>
        <v>0</v>
      </c>
      <c r="H96" s="12">
        <f t="shared" si="4"/>
        <v>0</v>
      </c>
      <c r="I96" s="12">
        <f t="shared" si="5"/>
        <v>0</v>
      </c>
    </row>
    <row r="97" spans="1:9">
      <c r="A97" s="5" t="s">
        <v>153</v>
      </c>
      <c r="B97" s="1017">
        <v>34000</v>
      </c>
      <c r="C97" s="1016"/>
      <c r="E97" s="3">
        <f>+IFERROR(VLOOKUP(A97,'TB Final'!$A$4:$J$497,5,),0)</f>
        <v>34000</v>
      </c>
      <c r="F97" s="3">
        <f>+IFERROR(VLOOKUP(A97,'TB Final'!$A$4:$J$497,8,),0)</f>
        <v>0</v>
      </c>
      <c r="G97" s="12">
        <f t="shared" si="3"/>
        <v>0</v>
      </c>
      <c r="H97" s="12">
        <f t="shared" si="4"/>
        <v>0</v>
      </c>
      <c r="I97" s="12">
        <f t="shared" si="5"/>
        <v>0</v>
      </c>
    </row>
    <row r="98" spans="1:9">
      <c r="A98" s="5" t="s">
        <v>154</v>
      </c>
      <c r="B98" s="1017">
        <v>33000</v>
      </c>
      <c r="C98" s="1016"/>
      <c r="E98" s="3">
        <f>+IFERROR(VLOOKUP(A98,'TB Final'!$A$4:$J$497,5,),0)</f>
        <v>33000</v>
      </c>
      <c r="F98" s="3">
        <f>+IFERROR(VLOOKUP(A98,'TB Final'!$A$4:$J$497,8,),0)</f>
        <v>0</v>
      </c>
      <c r="G98" s="12">
        <f t="shared" si="3"/>
        <v>0</v>
      </c>
      <c r="H98" s="12">
        <f t="shared" si="4"/>
        <v>0</v>
      </c>
      <c r="I98" s="12">
        <f t="shared" si="5"/>
        <v>0</v>
      </c>
    </row>
    <row r="99" spans="1:9">
      <c r="A99" s="5" t="s">
        <v>436</v>
      </c>
      <c r="B99" s="1017">
        <v>47111095.43</v>
      </c>
      <c r="C99" s="1016"/>
      <c r="E99" s="3">
        <f>+IFERROR(VLOOKUP(A99,'TB Final'!$A$4:$J$497,5,),0)</f>
        <v>47111095.43</v>
      </c>
      <c r="F99" s="3">
        <f>+IFERROR(VLOOKUP(A99,'TB Final'!$A$4:$J$497,8,),0)</f>
        <v>0</v>
      </c>
      <c r="G99" s="12">
        <f t="shared" si="3"/>
        <v>0</v>
      </c>
      <c r="H99" s="12">
        <f t="shared" si="4"/>
        <v>0</v>
      </c>
      <c r="I99" s="12">
        <f t="shared" si="5"/>
        <v>0</v>
      </c>
    </row>
    <row r="100" spans="1:9">
      <c r="A100" s="5" t="s">
        <v>161</v>
      </c>
      <c r="B100" s="1016"/>
      <c r="C100" s="1017">
        <v>112909.16</v>
      </c>
      <c r="E100" s="3">
        <f>+IFERROR(VLOOKUP(A100,'TB Final'!$A$4:$J$497,5,),0)</f>
        <v>0</v>
      </c>
      <c r="F100" s="3">
        <f>+IFERROR(VLOOKUP(A100,'TB Final'!$A$4:$J$497,8,),0)</f>
        <v>112909.16</v>
      </c>
      <c r="G100" s="12">
        <f t="shared" si="3"/>
        <v>0</v>
      </c>
      <c r="H100" s="12">
        <f t="shared" si="4"/>
        <v>0</v>
      </c>
      <c r="I100" s="12">
        <f t="shared" si="5"/>
        <v>0</v>
      </c>
    </row>
    <row r="101" spans="1:9">
      <c r="A101" s="5" t="s">
        <v>162</v>
      </c>
      <c r="B101" s="1017">
        <v>37500</v>
      </c>
      <c r="C101" s="1016"/>
      <c r="E101" s="3">
        <f>+IFERROR(VLOOKUP(A101,'TB Final'!$A$4:$J$497,5,),0)</f>
        <v>37500</v>
      </c>
      <c r="F101" s="3">
        <f>+IFERROR(VLOOKUP(A101,'TB Final'!$A$4:$J$497,8,),0)</f>
        <v>0</v>
      </c>
      <c r="G101" s="12">
        <f t="shared" si="3"/>
        <v>0</v>
      </c>
      <c r="H101" s="12">
        <f t="shared" si="4"/>
        <v>0</v>
      </c>
      <c r="I101" s="12">
        <f t="shared" si="5"/>
        <v>0</v>
      </c>
    </row>
    <row r="102" spans="1:9">
      <c r="A102" s="5" t="s">
        <v>164</v>
      </c>
      <c r="B102" s="1017">
        <v>18000</v>
      </c>
      <c r="C102" s="1016"/>
      <c r="E102" s="3">
        <f>+IFERROR(VLOOKUP(A102,'TB Final'!$A$4:$J$497,5,),0)</f>
        <v>18000</v>
      </c>
      <c r="F102" s="3">
        <f>+IFERROR(VLOOKUP(A102,'TB Final'!$A$4:$J$497,8,),0)</f>
        <v>0</v>
      </c>
      <c r="G102" s="12">
        <f t="shared" si="3"/>
        <v>0</v>
      </c>
      <c r="H102" s="12">
        <f t="shared" si="4"/>
        <v>0</v>
      </c>
      <c r="I102" s="12">
        <f t="shared" si="5"/>
        <v>0</v>
      </c>
    </row>
    <row r="103" spans="1:9">
      <c r="A103" s="5" t="s">
        <v>165</v>
      </c>
      <c r="B103" s="1016"/>
      <c r="C103" s="1017">
        <v>89916</v>
      </c>
      <c r="E103" s="3">
        <f>+IFERROR(VLOOKUP(A103,'TB Final'!$A$4:$J$497,5,),0)</f>
        <v>0</v>
      </c>
      <c r="F103" s="3">
        <f>+IFERROR(VLOOKUP(A103,'TB Final'!$A$4:$J$497,8,),0)</f>
        <v>89916</v>
      </c>
      <c r="G103" s="12">
        <f t="shared" si="3"/>
        <v>0</v>
      </c>
      <c r="H103" s="12">
        <f t="shared" si="4"/>
        <v>0</v>
      </c>
      <c r="I103" s="12">
        <f t="shared" si="5"/>
        <v>0</v>
      </c>
    </row>
    <row r="104" spans="1:9">
      <c r="A104" s="5" t="s">
        <v>166</v>
      </c>
      <c r="B104" s="1016"/>
      <c r="C104" s="1017">
        <v>4164978</v>
      </c>
      <c r="E104" s="3">
        <f>+IFERROR(VLOOKUP(A104,'TB Final'!$A$4:$J$497,5,),0)</f>
        <v>0</v>
      </c>
      <c r="F104" s="3">
        <f>+IFERROR(VLOOKUP(A104,'TB Final'!$A$4:$J$497,8,),0)</f>
        <v>4164978</v>
      </c>
      <c r="G104" s="12">
        <f t="shared" si="3"/>
        <v>0</v>
      </c>
      <c r="H104" s="12">
        <f t="shared" si="4"/>
        <v>0</v>
      </c>
      <c r="I104" s="12">
        <f t="shared" si="5"/>
        <v>0</v>
      </c>
    </row>
    <row r="105" spans="1:9">
      <c r="A105" s="5" t="s">
        <v>561</v>
      </c>
      <c r="B105" s="1016"/>
      <c r="C105" s="1017">
        <v>62499</v>
      </c>
      <c r="E105" s="3">
        <f>+IFERROR(VLOOKUP(A105,'TB Final'!$A$4:$J$497,5,),0)</f>
        <v>0</v>
      </c>
      <c r="F105" s="3">
        <f>+IFERROR(VLOOKUP(A105,'TB Final'!$A$4:$J$497,8,),0)</f>
        <v>62499</v>
      </c>
      <c r="G105" s="12">
        <f t="shared" si="3"/>
        <v>0</v>
      </c>
      <c r="H105" s="12">
        <f t="shared" si="4"/>
        <v>0</v>
      </c>
      <c r="I105" s="12">
        <f t="shared" si="5"/>
        <v>0</v>
      </c>
    </row>
    <row r="106" spans="1:9">
      <c r="A106" s="5" t="s">
        <v>562</v>
      </c>
      <c r="B106" s="1016"/>
      <c r="C106" s="1017">
        <v>37052</v>
      </c>
      <c r="E106" s="3">
        <f>+IFERROR(VLOOKUP(A106,'TB Final'!$A$4:$J$497,5,),0)</f>
        <v>0</v>
      </c>
      <c r="F106" s="3">
        <f>+IFERROR(VLOOKUP(A106,'TB Final'!$A$4:$J$497,8,),0)</f>
        <v>37052</v>
      </c>
      <c r="G106" s="12">
        <f t="shared" si="3"/>
        <v>0</v>
      </c>
      <c r="H106" s="12">
        <f t="shared" si="4"/>
        <v>0</v>
      </c>
      <c r="I106" s="12">
        <f t="shared" si="5"/>
        <v>0</v>
      </c>
    </row>
    <row r="107" spans="1:9">
      <c r="A107" s="5" t="s">
        <v>167</v>
      </c>
      <c r="B107" s="1017">
        <v>26557047.010000002</v>
      </c>
      <c r="C107" s="1016"/>
      <c r="E107" s="3">
        <f>+IFERROR(VLOOKUP(A107,'TB Final'!$A$4:$J$497,5,),0)</f>
        <v>26557047.010000002</v>
      </c>
      <c r="F107" s="3">
        <f>+IFERROR(VLOOKUP(A107,'TB Final'!$A$4:$J$497,8,),0)</f>
        <v>0</v>
      </c>
      <c r="G107" s="12">
        <f t="shared" si="3"/>
        <v>0</v>
      </c>
      <c r="H107" s="12">
        <f t="shared" si="4"/>
        <v>0</v>
      </c>
      <c r="I107" s="12">
        <f t="shared" si="5"/>
        <v>0</v>
      </c>
    </row>
    <row r="108" spans="1:9">
      <c r="A108" s="5" t="s">
        <v>168</v>
      </c>
      <c r="B108" s="1016"/>
      <c r="C108" s="1017">
        <v>26922650</v>
      </c>
      <c r="E108" s="3">
        <f>+IFERROR(VLOOKUP(A108,'TB Final'!$A$4:$J$497,5,),0)</f>
        <v>0</v>
      </c>
      <c r="F108" s="3">
        <f>+IFERROR(VLOOKUP(A108,'TB Final'!$A$4:$J$497,8,),0)</f>
        <v>26922650</v>
      </c>
      <c r="G108" s="12">
        <f t="shared" si="3"/>
        <v>0</v>
      </c>
      <c r="H108" s="12">
        <f t="shared" si="4"/>
        <v>0</v>
      </c>
      <c r="I108" s="12">
        <f t="shared" si="5"/>
        <v>0</v>
      </c>
    </row>
    <row r="109" spans="1:9">
      <c r="A109" s="5" t="s">
        <v>171</v>
      </c>
      <c r="B109" s="1017">
        <v>236264</v>
      </c>
      <c r="C109" s="1016"/>
      <c r="E109" s="3">
        <f>+IFERROR(VLOOKUP(A109,'TB Final'!$A$4:$J$497,5,),0)</f>
        <v>236264</v>
      </c>
      <c r="F109" s="3">
        <f>+IFERROR(VLOOKUP(A109,'TB Final'!$A$4:$J$497,8,),0)</f>
        <v>0</v>
      </c>
      <c r="G109" s="12">
        <f t="shared" si="3"/>
        <v>0</v>
      </c>
      <c r="H109" s="12">
        <f t="shared" si="4"/>
        <v>0</v>
      </c>
      <c r="I109" s="12">
        <f t="shared" si="5"/>
        <v>0</v>
      </c>
    </row>
    <row r="110" spans="1:9">
      <c r="A110" s="5" t="s">
        <v>173</v>
      </c>
      <c r="B110" s="1017">
        <v>18701</v>
      </c>
      <c r="C110" s="1016"/>
      <c r="E110" s="3">
        <f>+IFERROR(VLOOKUP(A110,'TB Final'!$A$4:$J$497,5,),0)</f>
        <v>18701</v>
      </c>
      <c r="F110" s="3">
        <f>+IFERROR(VLOOKUP(A110,'TB Final'!$A$4:$J$497,8,),0)</f>
        <v>0</v>
      </c>
      <c r="G110" s="12">
        <f t="shared" si="3"/>
        <v>0</v>
      </c>
      <c r="H110" s="12">
        <f t="shared" si="4"/>
        <v>0</v>
      </c>
      <c r="I110" s="12">
        <f t="shared" si="5"/>
        <v>0</v>
      </c>
    </row>
    <row r="111" spans="1:9">
      <c r="A111" s="5" t="s">
        <v>179</v>
      </c>
      <c r="B111" s="1017">
        <v>75600</v>
      </c>
      <c r="C111" s="1016"/>
      <c r="E111" s="3">
        <f>+IFERROR(VLOOKUP(A111,'TB Final'!$A$4:$J$497,5,),0)</f>
        <v>75600</v>
      </c>
      <c r="F111" s="3">
        <f>+IFERROR(VLOOKUP(A111,'TB Final'!$A$4:$J$497,8,),0)</f>
        <v>0</v>
      </c>
      <c r="G111" s="12">
        <f t="shared" si="3"/>
        <v>0</v>
      </c>
      <c r="H111" s="12">
        <f t="shared" si="4"/>
        <v>0</v>
      </c>
      <c r="I111" s="12">
        <f t="shared" si="5"/>
        <v>0</v>
      </c>
    </row>
    <row r="112" spans="1:9">
      <c r="A112" s="5" t="s">
        <v>180</v>
      </c>
      <c r="B112" s="1017">
        <v>365711.4</v>
      </c>
      <c r="C112" s="1016"/>
      <c r="E112" s="3">
        <f>+IFERROR(VLOOKUP(A112,'TB Final'!$A$4:$J$497,5,),0)</f>
        <v>365711.4</v>
      </c>
      <c r="F112" s="3">
        <f>+IFERROR(VLOOKUP(A112,'TB Final'!$A$4:$J$497,8,),0)</f>
        <v>0</v>
      </c>
      <c r="G112" s="12">
        <f t="shared" si="3"/>
        <v>0</v>
      </c>
      <c r="H112" s="12">
        <f t="shared" si="4"/>
        <v>0</v>
      </c>
      <c r="I112" s="12">
        <f t="shared" si="5"/>
        <v>0</v>
      </c>
    </row>
    <row r="113" spans="1:9">
      <c r="A113" s="5" t="s">
        <v>181</v>
      </c>
      <c r="B113" s="1017">
        <v>83424461</v>
      </c>
      <c r="C113" s="1016"/>
      <c r="E113" s="3">
        <f>+IFERROR(VLOOKUP(A113,'TB Final'!$A$4:$J$497,5,),0)</f>
        <v>83424461</v>
      </c>
      <c r="F113" s="3">
        <f>+IFERROR(VLOOKUP(A113,'TB Final'!$A$4:$J$497,8,),0)</f>
        <v>0</v>
      </c>
      <c r="G113" s="12">
        <f t="shared" si="3"/>
        <v>0</v>
      </c>
      <c r="H113" s="12">
        <f t="shared" si="4"/>
        <v>0</v>
      </c>
      <c r="I113" s="12">
        <f t="shared" si="5"/>
        <v>0</v>
      </c>
    </row>
    <row r="114" spans="1:9">
      <c r="A114" s="5" t="s">
        <v>182</v>
      </c>
      <c r="B114" s="1017">
        <v>301632</v>
      </c>
      <c r="C114" s="1016"/>
      <c r="E114" s="3">
        <f>+IFERROR(VLOOKUP(A114,'TB Final'!$A$4:$J$497,5,),0)</f>
        <v>301632</v>
      </c>
      <c r="F114" s="3">
        <f>+IFERROR(VLOOKUP(A114,'TB Final'!$A$4:$J$497,8,),0)</f>
        <v>0</v>
      </c>
      <c r="G114" s="12">
        <f t="shared" si="3"/>
        <v>0</v>
      </c>
      <c r="H114" s="12">
        <f t="shared" si="4"/>
        <v>0</v>
      </c>
      <c r="I114" s="12">
        <f t="shared" si="5"/>
        <v>0</v>
      </c>
    </row>
    <row r="115" spans="1:9">
      <c r="A115" s="5" t="s">
        <v>563</v>
      </c>
      <c r="B115" s="1017">
        <v>50000</v>
      </c>
      <c r="C115" s="1016"/>
      <c r="E115" s="3">
        <f>+IFERROR(VLOOKUP(A115,'TB Final'!$A$4:$J$497,5,),0)</f>
        <v>50000</v>
      </c>
      <c r="F115" s="3">
        <f>+IFERROR(VLOOKUP(A115,'TB Final'!$A$4:$J$497,8,),0)</f>
        <v>0</v>
      </c>
      <c r="G115" s="12">
        <f t="shared" si="3"/>
        <v>0</v>
      </c>
      <c r="H115" s="12">
        <f t="shared" si="4"/>
        <v>0</v>
      </c>
      <c r="I115" s="12">
        <f t="shared" si="5"/>
        <v>0</v>
      </c>
    </row>
    <row r="116" spans="1:9">
      <c r="A116" s="5" t="s">
        <v>50</v>
      </c>
      <c r="B116" s="1017">
        <v>145333</v>
      </c>
      <c r="C116" s="1016"/>
      <c r="E116" s="3">
        <f>+IFERROR(VLOOKUP(A116,'TB Final'!$A$4:$J$497,5,),0)</f>
        <v>145333</v>
      </c>
      <c r="F116" s="3">
        <f>+IFERROR(VLOOKUP(A116,'TB Final'!$A$4:$J$497,8,),0)</f>
        <v>0</v>
      </c>
      <c r="G116" s="12">
        <f t="shared" si="3"/>
        <v>0</v>
      </c>
      <c r="H116" s="12">
        <f t="shared" si="4"/>
        <v>0</v>
      </c>
      <c r="I116" s="12">
        <f t="shared" si="5"/>
        <v>0</v>
      </c>
    </row>
    <row r="117" spans="1:9">
      <c r="A117" s="5" t="s">
        <v>184</v>
      </c>
      <c r="B117" s="1017">
        <v>30878.05</v>
      </c>
      <c r="C117" s="1016"/>
      <c r="E117" s="3">
        <f>+IFERROR(VLOOKUP(A117,'TB Final'!$A$4:$J$497,5,),0)</f>
        <v>30878.05</v>
      </c>
      <c r="F117" s="3">
        <f>+IFERROR(VLOOKUP(A117,'TB Final'!$A$4:$J$497,8,),0)</f>
        <v>0</v>
      </c>
      <c r="G117" s="12">
        <f t="shared" si="3"/>
        <v>0</v>
      </c>
      <c r="H117" s="12">
        <f t="shared" si="4"/>
        <v>0</v>
      </c>
      <c r="I117" s="12">
        <f t="shared" si="5"/>
        <v>0</v>
      </c>
    </row>
    <row r="118" spans="1:9">
      <c r="A118" s="5" t="s">
        <v>185</v>
      </c>
      <c r="B118" s="1017">
        <v>2829820</v>
      </c>
      <c r="C118" s="1016"/>
      <c r="E118" s="3">
        <f>+IFERROR(VLOOKUP(A118,'TB Final'!$A$4:$J$497,5,),0)</f>
        <v>2829820</v>
      </c>
      <c r="F118" s="3">
        <f>+IFERROR(VLOOKUP(A118,'TB Final'!$A$4:$J$497,8,),0)</f>
        <v>0</v>
      </c>
      <c r="G118" s="12">
        <f t="shared" si="3"/>
        <v>0</v>
      </c>
      <c r="H118" s="12">
        <f t="shared" si="4"/>
        <v>0</v>
      </c>
      <c r="I118" s="12">
        <f t="shared" si="5"/>
        <v>0</v>
      </c>
    </row>
    <row r="119" spans="1:9">
      <c r="A119" s="5" t="s">
        <v>564</v>
      </c>
      <c r="B119" s="1016"/>
      <c r="C119" s="1017">
        <v>370401</v>
      </c>
      <c r="E119" s="3">
        <f>+IFERROR(VLOOKUP(A119,'TB Final'!$A$4:$J$497,5,),0)</f>
        <v>0</v>
      </c>
      <c r="F119" s="3">
        <f>+IFERROR(VLOOKUP(A119,'TB Final'!$A$4:$J$497,8,),0)</f>
        <v>370401</v>
      </c>
      <c r="G119" s="12">
        <f t="shared" si="3"/>
        <v>0</v>
      </c>
      <c r="H119" s="12">
        <f t="shared" si="4"/>
        <v>0</v>
      </c>
      <c r="I119" s="12">
        <f t="shared" si="5"/>
        <v>0</v>
      </c>
    </row>
    <row r="120" spans="1:9">
      <c r="A120" s="5" t="s">
        <v>440</v>
      </c>
      <c r="B120" s="1017">
        <v>261462</v>
      </c>
      <c r="C120" s="1016"/>
      <c r="E120" s="3">
        <f>+IFERROR(VLOOKUP(A120,'TB Final'!$A$4:$J$497,5,),0)</f>
        <v>261462</v>
      </c>
      <c r="F120" s="3">
        <f>+IFERROR(VLOOKUP(A120,'TB Final'!$A$4:$J$497,8,),0)</f>
        <v>0</v>
      </c>
      <c r="G120" s="12">
        <f t="shared" si="3"/>
        <v>0</v>
      </c>
      <c r="H120" s="12">
        <f t="shared" si="4"/>
        <v>0</v>
      </c>
      <c r="I120" s="12">
        <f t="shared" si="5"/>
        <v>0</v>
      </c>
    </row>
    <row r="121" spans="1:9">
      <c r="A121" s="5" t="s">
        <v>188</v>
      </c>
      <c r="B121" s="1017">
        <v>1767870</v>
      </c>
      <c r="C121" s="1016"/>
      <c r="E121" s="3">
        <f>+IFERROR(VLOOKUP(A121,'TB Final'!$A$4:$J$497,5,),0)</f>
        <v>1767870</v>
      </c>
      <c r="F121" s="3">
        <f>+IFERROR(VLOOKUP(A121,'TB Final'!$A$4:$J$497,8,),0)</f>
        <v>0</v>
      </c>
      <c r="G121" s="12">
        <f t="shared" si="3"/>
        <v>0</v>
      </c>
      <c r="H121" s="12">
        <f t="shared" si="4"/>
        <v>0</v>
      </c>
      <c r="I121" s="12">
        <f t="shared" si="5"/>
        <v>0</v>
      </c>
    </row>
    <row r="122" spans="1:9">
      <c r="A122" s="5" t="s">
        <v>189</v>
      </c>
      <c r="B122" s="1016"/>
      <c r="C122" s="1017">
        <v>697771</v>
      </c>
      <c r="E122" s="3">
        <f>+IFERROR(VLOOKUP(A122,'TB Final'!$A$4:$J$497,5,),0)</f>
        <v>0</v>
      </c>
      <c r="F122" s="3">
        <f>+IFERROR(VLOOKUP(A122,'TB Final'!$A$4:$J$497,8,),0)</f>
        <v>697771</v>
      </c>
      <c r="G122" s="12">
        <f t="shared" si="3"/>
        <v>0</v>
      </c>
      <c r="H122" s="12">
        <f t="shared" si="4"/>
        <v>0</v>
      </c>
      <c r="I122" s="12">
        <f t="shared" si="5"/>
        <v>0</v>
      </c>
    </row>
    <row r="123" spans="1:9">
      <c r="A123" s="5" t="s">
        <v>192</v>
      </c>
      <c r="B123" s="1017">
        <v>33965000</v>
      </c>
      <c r="C123" s="1016"/>
      <c r="E123" s="3">
        <f>+IFERROR(VLOOKUP(A123,'TB Final'!$A$4:$J$497,5,),0)</f>
        <v>33965000</v>
      </c>
      <c r="F123" s="3">
        <f>+IFERROR(VLOOKUP(A123,'TB Final'!$A$4:$J$497,8,),0)</f>
        <v>0</v>
      </c>
      <c r="G123" s="12">
        <f t="shared" si="3"/>
        <v>0</v>
      </c>
      <c r="H123" s="12">
        <f t="shared" si="4"/>
        <v>0</v>
      </c>
      <c r="I123" s="12">
        <f t="shared" si="5"/>
        <v>0</v>
      </c>
    </row>
    <row r="124" spans="1:9">
      <c r="A124" s="5" t="s">
        <v>565</v>
      </c>
      <c r="B124" s="1017">
        <v>500</v>
      </c>
      <c r="C124" s="1016"/>
      <c r="E124" s="3">
        <f>+IFERROR(VLOOKUP(A124,'TB Final'!$A$4:$J$497,5,),0)</f>
        <v>500</v>
      </c>
      <c r="F124" s="3">
        <f>+IFERROR(VLOOKUP(A124,'TB Final'!$A$4:$J$497,8,),0)</f>
        <v>0</v>
      </c>
      <c r="G124" s="12">
        <f t="shared" si="3"/>
        <v>0</v>
      </c>
      <c r="H124" s="12">
        <f t="shared" si="4"/>
        <v>0</v>
      </c>
      <c r="I124" s="12">
        <f t="shared" si="5"/>
        <v>0</v>
      </c>
    </row>
    <row r="125" spans="1:9">
      <c r="A125" s="5" t="s">
        <v>193</v>
      </c>
      <c r="B125" s="1017">
        <v>1884828.03</v>
      </c>
      <c r="C125" s="1016"/>
      <c r="E125" s="3">
        <f>+IFERROR(VLOOKUP(A125,'TB Final'!$A$4:$J$497,5,),0)</f>
        <v>1884828.03</v>
      </c>
      <c r="F125" s="3">
        <f>+IFERROR(VLOOKUP(A125,'TB Final'!$A$4:$J$497,8,),0)</f>
        <v>0</v>
      </c>
      <c r="G125" s="12">
        <f t="shared" si="3"/>
        <v>0</v>
      </c>
      <c r="H125" s="12">
        <f t="shared" si="4"/>
        <v>0</v>
      </c>
      <c r="I125" s="12">
        <f t="shared" si="5"/>
        <v>0</v>
      </c>
    </row>
    <row r="126" spans="1:9">
      <c r="A126" s="5" t="s">
        <v>194</v>
      </c>
      <c r="B126" s="1016"/>
      <c r="C126" s="1017">
        <v>65007</v>
      </c>
      <c r="E126" s="3">
        <f>+IFERROR(VLOOKUP(A126,'TB Final'!$A$4:$J$497,5,),0)</f>
        <v>0</v>
      </c>
      <c r="F126" s="3">
        <f>+IFERROR(VLOOKUP(A126,'TB Final'!$A$4:$J$497,8,),0)</f>
        <v>65007</v>
      </c>
      <c r="G126" s="12">
        <f t="shared" si="3"/>
        <v>0</v>
      </c>
      <c r="H126" s="12">
        <f t="shared" si="4"/>
        <v>0</v>
      </c>
      <c r="I126" s="12">
        <f t="shared" si="5"/>
        <v>0</v>
      </c>
    </row>
    <row r="127" spans="1:9">
      <c r="A127" s="5" t="s">
        <v>566</v>
      </c>
      <c r="B127" s="1016"/>
      <c r="C127" s="1017">
        <v>2529925</v>
      </c>
      <c r="E127" s="3">
        <f>+IFERROR(VLOOKUP(A127,'TB Final'!$A$4:$J$497,5,),0)</f>
        <v>0</v>
      </c>
      <c r="F127" s="3">
        <f>+IFERROR(VLOOKUP(A127,'TB Final'!$A$4:$J$497,8,),0)</f>
        <v>2529925</v>
      </c>
      <c r="G127" s="12">
        <f t="shared" si="3"/>
        <v>0</v>
      </c>
      <c r="H127" s="12">
        <f t="shared" si="4"/>
        <v>0</v>
      </c>
      <c r="I127" s="12">
        <f t="shared" si="5"/>
        <v>0</v>
      </c>
    </row>
    <row r="128" spans="1:9">
      <c r="A128" s="5" t="s">
        <v>442</v>
      </c>
      <c r="B128" s="1016"/>
      <c r="C128" s="1017">
        <v>1896290</v>
      </c>
      <c r="E128" s="3">
        <f>+IFERROR(VLOOKUP(A128,'TB Final'!$A$4:$J$497,5,),0)</f>
        <v>0</v>
      </c>
      <c r="F128" s="3">
        <f>+IFERROR(VLOOKUP(A128,'TB Final'!$A$4:$J$497,8,),0)</f>
        <v>1896290</v>
      </c>
      <c r="G128" s="12">
        <f t="shared" si="3"/>
        <v>0</v>
      </c>
      <c r="H128" s="12">
        <f t="shared" si="4"/>
        <v>0</v>
      </c>
      <c r="I128" s="12">
        <f t="shared" si="5"/>
        <v>0</v>
      </c>
    </row>
    <row r="129" spans="1:9">
      <c r="A129" s="5" t="s">
        <v>195</v>
      </c>
      <c r="B129" s="1016"/>
      <c r="C129" s="1017">
        <v>1800000</v>
      </c>
      <c r="E129" s="3">
        <f>+IFERROR(VLOOKUP(A129,'TB Final'!$A$4:$J$497,5,),0)</f>
        <v>0</v>
      </c>
      <c r="F129" s="3">
        <f>+IFERROR(VLOOKUP(A129,'TB Final'!$A$4:$J$497,8,),0)</f>
        <v>1800000</v>
      </c>
      <c r="G129" s="12">
        <f t="shared" si="3"/>
        <v>0</v>
      </c>
      <c r="H129" s="12">
        <f t="shared" si="4"/>
        <v>0</v>
      </c>
      <c r="I129" s="12">
        <f t="shared" si="5"/>
        <v>0</v>
      </c>
    </row>
    <row r="130" spans="1:9">
      <c r="A130" s="5" t="s">
        <v>443</v>
      </c>
      <c r="B130" s="1016"/>
      <c r="C130" s="1017">
        <v>444140</v>
      </c>
      <c r="E130" s="3">
        <f>+IFERROR(VLOOKUP(A130,'TB Final'!$A$4:$J$497,5,),0)</f>
        <v>0</v>
      </c>
      <c r="F130" s="3">
        <f>+IFERROR(VLOOKUP(A130,'TB Final'!$A$4:$J$497,8,),0)</f>
        <v>444140</v>
      </c>
      <c r="G130" s="12">
        <f t="shared" si="3"/>
        <v>0</v>
      </c>
      <c r="H130" s="12">
        <f t="shared" si="4"/>
        <v>0</v>
      </c>
      <c r="I130" s="12">
        <f t="shared" si="5"/>
        <v>0</v>
      </c>
    </row>
    <row r="131" spans="1:9">
      <c r="A131" s="5" t="s">
        <v>197</v>
      </c>
      <c r="B131" s="1016"/>
      <c r="C131" s="1017">
        <v>242667</v>
      </c>
      <c r="E131" s="3">
        <f>+IFERROR(VLOOKUP(A131,'TB Final'!$A$4:$J$497,5,),0)</f>
        <v>0</v>
      </c>
      <c r="F131" s="3">
        <f>+IFERROR(VLOOKUP(A131,'TB Final'!$A$4:$J$497,8,),0)</f>
        <v>242667</v>
      </c>
      <c r="G131" s="12">
        <f t="shared" si="3"/>
        <v>0</v>
      </c>
      <c r="H131" s="12">
        <f t="shared" si="4"/>
        <v>0</v>
      </c>
      <c r="I131" s="12">
        <f t="shared" si="5"/>
        <v>0</v>
      </c>
    </row>
    <row r="132" spans="1:9">
      <c r="A132" s="5" t="s">
        <v>567</v>
      </c>
      <c r="B132" s="1017">
        <v>871518</v>
      </c>
      <c r="C132" s="1016"/>
      <c r="E132" s="3">
        <f>+IFERROR(VLOOKUP(A132,'TB Final'!$A$4:$J$497,5,),0)</f>
        <v>871518</v>
      </c>
      <c r="F132" s="3">
        <f>+IFERROR(VLOOKUP(A132,'TB Final'!$A$4:$J$497,8,),0)</f>
        <v>0</v>
      </c>
      <c r="G132" s="12">
        <f t="shared" si="3"/>
        <v>0</v>
      </c>
      <c r="H132" s="12">
        <f t="shared" si="4"/>
        <v>0</v>
      </c>
      <c r="I132" s="12">
        <f t="shared" si="5"/>
        <v>0</v>
      </c>
    </row>
    <row r="133" spans="1:9">
      <c r="A133" s="5" t="s">
        <v>199</v>
      </c>
      <c r="B133" s="1016"/>
      <c r="C133" s="1017">
        <v>74340</v>
      </c>
      <c r="E133" s="3">
        <f>+IFERROR(VLOOKUP(A133,'TB Final'!$A$4:$J$497,5,),0)</f>
        <v>0</v>
      </c>
      <c r="F133" s="3">
        <f>+IFERROR(VLOOKUP(A133,'TB Final'!$A$4:$J$497,8,),0)</f>
        <v>74340</v>
      </c>
      <c r="G133" s="12">
        <f t="shared" si="3"/>
        <v>0</v>
      </c>
      <c r="H133" s="12">
        <f t="shared" si="4"/>
        <v>0</v>
      </c>
      <c r="I133" s="12">
        <f t="shared" si="5"/>
        <v>0</v>
      </c>
    </row>
    <row r="134" spans="1:9">
      <c r="A134" s="5" t="s">
        <v>2383</v>
      </c>
      <c r="B134" s="1017">
        <v>30000</v>
      </c>
      <c r="C134" s="1016"/>
      <c r="E134" s="3">
        <f>+IFERROR(VLOOKUP(A134,'TB Final'!$A$4:$J$497,5,),0)</f>
        <v>30000</v>
      </c>
      <c r="F134" s="3">
        <f>+IFERROR(VLOOKUP(A134,'TB Final'!$A$4:$J$497,8,),0)</f>
        <v>0</v>
      </c>
      <c r="G134" s="12">
        <f t="shared" si="3"/>
        <v>0</v>
      </c>
      <c r="H134" s="12">
        <f t="shared" si="4"/>
        <v>0</v>
      </c>
      <c r="I134" s="12">
        <f t="shared" si="5"/>
        <v>0</v>
      </c>
    </row>
    <row r="135" spans="1:9">
      <c r="A135" s="5" t="s">
        <v>2762</v>
      </c>
      <c r="B135" s="1016"/>
      <c r="C135" s="1017">
        <v>27000</v>
      </c>
      <c r="E135" s="3">
        <f>+IFERROR(VLOOKUP(A135,'TB Final'!$A$4:$J$497,5,),0)</f>
        <v>0</v>
      </c>
      <c r="F135" s="3">
        <f>+IFERROR(VLOOKUP(A135,'TB Final'!$A$4:$J$497,8,),0)</f>
        <v>27000</v>
      </c>
      <c r="G135" s="12">
        <f t="shared" si="3"/>
        <v>0</v>
      </c>
      <c r="H135" s="12">
        <f t="shared" si="4"/>
        <v>0</v>
      </c>
      <c r="I135" s="12">
        <f t="shared" si="5"/>
        <v>0</v>
      </c>
    </row>
    <row r="136" spans="1:9">
      <c r="A136" s="5" t="s">
        <v>202</v>
      </c>
      <c r="B136" s="1017">
        <v>36000</v>
      </c>
      <c r="C136" s="1016"/>
      <c r="E136" s="3">
        <f>+IFERROR(VLOOKUP(A136,'TB Final'!$A$4:$J$497,5,),0)</f>
        <v>36000</v>
      </c>
      <c r="F136" s="3">
        <f>+IFERROR(VLOOKUP(A136,'TB Final'!$A$4:$J$497,8,),0)</f>
        <v>0</v>
      </c>
      <c r="G136" s="12">
        <f t="shared" si="3"/>
        <v>0</v>
      </c>
      <c r="H136" s="12">
        <f t="shared" si="4"/>
        <v>0</v>
      </c>
      <c r="I136" s="12">
        <f t="shared" si="5"/>
        <v>0</v>
      </c>
    </row>
    <row r="137" spans="1:9">
      <c r="A137" s="5" t="s">
        <v>568</v>
      </c>
      <c r="B137" s="1017">
        <v>85698</v>
      </c>
      <c r="C137" s="1016"/>
      <c r="E137" s="3">
        <f>+IFERROR(VLOOKUP(A137,'TB Final'!$A$4:$J$497,5,),0)</f>
        <v>85698</v>
      </c>
      <c r="F137" s="3">
        <f>+IFERROR(VLOOKUP(A137,'TB Final'!$A$4:$J$497,8,),0)</f>
        <v>0</v>
      </c>
      <c r="G137" s="12">
        <f t="shared" si="3"/>
        <v>0</v>
      </c>
      <c r="H137" s="12">
        <f t="shared" si="4"/>
        <v>0</v>
      </c>
      <c r="I137" s="12">
        <f t="shared" si="5"/>
        <v>0</v>
      </c>
    </row>
    <row r="138" spans="1:9">
      <c r="A138" s="5" t="s">
        <v>203</v>
      </c>
      <c r="B138" s="1016"/>
      <c r="C138" s="1017">
        <v>75205</v>
      </c>
      <c r="E138" s="3">
        <f>+IFERROR(VLOOKUP(A138,'TB Final'!$A$4:$J$497,5,),0)</f>
        <v>0</v>
      </c>
      <c r="F138" s="3">
        <f>+IFERROR(VLOOKUP(A138,'TB Final'!$A$4:$J$497,8,),0)</f>
        <v>75205</v>
      </c>
      <c r="G138" s="12">
        <f t="shared" si="3"/>
        <v>0</v>
      </c>
      <c r="H138" s="12">
        <f t="shared" si="4"/>
        <v>0</v>
      </c>
      <c r="I138" s="12">
        <f t="shared" si="5"/>
        <v>0</v>
      </c>
    </row>
    <row r="139" spans="1:9">
      <c r="A139" s="5" t="s">
        <v>569</v>
      </c>
      <c r="B139" s="1016"/>
      <c r="C139" s="1017">
        <v>192781</v>
      </c>
      <c r="E139" s="3">
        <f>+IFERROR(VLOOKUP(A139,'TB Final'!$A$4:$J$497,5,),0)</f>
        <v>0</v>
      </c>
      <c r="F139" s="3">
        <f>+IFERROR(VLOOKUP(A139,'TB Final'!$A$4:$J$497,8,),0)</f>
        <v>192781</v>
      </c>
      <c r="G139" s="12">
        <f t="shared" si="3"/>
        <v>0</v>
      </c>
      <c r="H139" s="12">
        <f t="shared" si="4"/>
        <v>0</v>
      </c>
      <c r="I139" s="12">
        <f t="shared" si="5"/>
        <v>0</v>
      </c>
    </row>
    <row r="140" spans="1:9">
      <c r="A140" s="5" t="s">
        <v>204</v>
      </c>
      <c r="B140" s="1016"/>
      <c r="C140" s="1017">
        <v>1418464</v>
      </c>
      <c r="E140" s="3">
        <f>+IFERROR(VLOOKUP(A140,'TB Final'!$A$4:$J$497,5,),0)</f>
        <v>0</v>
      </c>
      <c r="F140" s="3">
        <f>+IFERROR(VLOOKUP(A140,'TB Final'!$A$4:$J$497,8,),0)</f>
        <v>1418464</v>
      </c>
      <c r="G140" s="12">
        <f t="shared" si="3"/>
        <v>0</v>
      </c>
      <c r="H140" s="12">
        <f t="shared" si="4"/>
        <v>0</v>
      </c>
      <c r="I140" s="12">
        <f t="shared" si="5"/>
        <v>0</v>
      </c>
    </row>
    <row r="141" spans="1:9">
      <c r="A141" s="5" t="s">
        <v>570</v>
      </c>
      <c r="B141" s="1017">
        <v>34000</v>
      </c>
      <c r="C141" s="1016"/>
      <c r="E141" s="3">
        <f>+IFERROR(VLOOKUP(A141,'TB Final'!$A$4:$J$497,5,),0)</f>
        <v>34000</v>
      </c>
      <c r="F141" s="3">
        <f>+IFERROR(VLOOKUP(A141,'TB Final'!$A$4:$J$497,8,),0)</f>
        <v>0</v>
      </c>
      <c r="G141" s="12">
        <f t="shared" ref="G141:G204" si="6">+B141-E141</f>
        <v>0</v>
      </c>
      <c r="H141" s="12">
        <f t="shared" ref="H141:H204" si="7">+C141-F141</f>
        <v>0</v>
      </c>
      <c r="I141" s="12">
        <f t="shared" ref="I141:I204" si="8">+SUM(G141:H141)</f>
        <v>0</v>
      </c>
    </row>
    <row r="142" spans="1:9">
      <c r="A142" s="5" t="s">
        <v>206</v>
      </c>
      <c r="B142" s="1016"/>
      <c r="C142" s="1017">
        <v>238416</v>
      </c>
      <c r="E142" s="3">
        <f>+IFERROR(VLOOKUP(A142,'TB Final'!$A$4:$J$497,5,),0)</f>
        <v>0</v>
      </c>
      <c r="F142" s="3">
        <f>+IFERROR(VLOOKUP(A142,'TB Final'!$A$4:$J$497,8,),0)</f>
        <v>238416</v>
      </c>
      <c r="G142" s="12">
        <f t="shared" si="6"/>
        <v>0</v>
      </c>
      <c r="H142" s="12">
        <f t="shared" si="7"/>
        <v>0</v>
      </c>
      <c r="I142" s="12">
        <f t="shared" si="8"/>
        <v>0</v>
      </c>
    </row>
    <row r="143" spans="1:9">
      <c r="A143" s="5" t="s">
        <v>207</v>
      </c>
      <c r="B143" s="1017">
        <v>32000</v>
      </c>
      <c r="C143" s="1016"/>
      <c r="E143" s="3">
        <f>+IFERROR(VLOOKUP(A143,'TB Final'!$A$4:$J$497,5,),0)</f>
        <v>32000</v>
      </c>
      <c r="F143" s="3">
        <f>+IFERROR(VLOOKUP(A143,'TB Final'!$A$4:$J$497,8,),0)</f>
        <v>0</v>
      </c>
      <c r="G143" s="12">
        <f t="shared" si="6"/>
        <v>0</v>
      </c>
      <c r="H143" s="12">
        <f t="shared" si="7"/>
        <v>0</v>
      </c>
      <c r="I143" s="12">
        <f t="shared" si="8"/>
        <v>0</v>
      </c>
    </row>
    <row r="144" spans="1:9">
      <c r="A144" s="5" t="s">
        <v>2763</v>
      </c>
      <c r="B144" s="1017">
        <v>807</v>
      </c>
      <c r="C144" s="1016"/>
      <c r="E144" s="3">
        <f>+IFERROR(VLOOKUP(A144,'TB Final'!$A$4:$J$497,5,),0)</f>
        <v>807</v>
      </c>
      <c r="F144" s="3">
        <f>+IFERROR(VLOOKUP(A144,'TB Final'!$A$4:$J$497,8,),0)</f>
        <v>0</v>
      </c>
      <c r="G144" s="12">
        <f t="shared" si="6"/>
        <v>0</v>
      </c>
      <c r="H144" s="12">
        <f t="shared" si="7"/>
        <v>0</v>
      </c>
      <c r="I144" s="12">
        <f t="shared" si="8"/>
        <v>0</v>
      </c>
    </row>
    <row r="145" spans="1:9">
      <c r="A145" s="5" t="s">
        <v>571</v>
      </c>
      <c r="B145" s="1016"/>
      <c r="C145" s="1017">
        <v>1402087</v>
      </c>
      <c r="E145" s="3">
        <f>+IFERROR(VLOOKUP(A145,'TB Final'!$A$4:$J$497,5,),0)</f>
        <v>0</v>
      </c>
      <c r="F145" s="3">
        <f>+IFERROR(VLOOKUP(A145,'TB Final'!$A$4:$J$497,8,),0)</f>
        <v>1402087</v>
      </c>
      <c r="G145" s="12">
        <f t="shared" si="6"/>
        <v>0</v>
      </c>
      <c r="H145" s="12">
        <f t="shared" si="7"/>
        <v>0</v>
      </c>
      <c r="I145" s="12">
        <f t="shared" si="8"/>
        <v>0</v>
      </c>
    </row>
    <row r="146" spans="1:9">
      <c r="A146" s="5" t="s">
        <v>572</v>
      </c>
      <c r="B146" s="1017">
        <v>1932482.82</v>
      </c>
      <c r="C146" s="1016"/>
      <c r="E146" s="3">
        <f>+IFERROR(VLOOKUP(A146,'TB Final'!$A$4:$J$497,5,),0)</f>
        <v>1932482.82</v>
      </c>
      <c r="F146" s="3">
        <f>+IFERROR(VLOOKUP(A146,'TB Final'!$A$4:$J$497,8,),0)</f>
        <v>0</v>
      </c>
      <c r="G146" s="12">
        <f t="shared" si="6"/>
        <v>0</v>
      </c>
      <c r="H146" s="12">
        <f t="shared" si="7"/>
        <v>0</v>
      </c>
      <c r="I146" s="12">
        <f t="shared" si="8"/>
        <v>0</v>
      </c>
    </row>
    <row r="147" spans="1:9">
      <c r="A147" s="5" t="s">
        <v>447</v>
      </c>
      <c r="B147" s="1016"/>
      <c r="C147" s="1017">
        <v>100000</v>
      </c>
      <c r="E147" s="3">
        <f>+IFERROR(VLOOKUP(A147,'TB Final'!$A$4:$J$497,5,),0)</f>
        <v>0</v>
      </c>
      <c r="F147" s="3">
        <f>+IFERROR(VLOOKUP(A147,'TB Final'!$A$4:$J$497,8,),0)</f>
        <v>100000</v>
      </c>
      <c r="G147" s="12">
        <f t="shared" si="6"/>
        <v>0</v>
      </c>
      <c r="H147" s="12">
        <f t="shared" si="7"/>
        <v>0</v>
      </c>
      <c r="I147" s="12">
        <f t="shared" si="8"/>
        <v>0</v>
      </c>
    </row>
    <row r="148" spans="1:9">
      <c r="A148" s="5" t="s">
        <v>209</v>
      </c>
      <c r="B148" s="1017">
        <v>205342673</v>
      </c>
      <c r="C148" s="1016"/>
      <c r="E148" s="3">
        <f>+IFERROR(VLOOKUP(A148,'TB Final'!$A$4:$J$497,5,),0)</f>
        <v>205342673</v>
      </c>
      <c r="F148" s="3">
        <f>+IFERROR(VLOOKUP(A148,'TB Final'!$A$4:$J$497,8,),0)</f>
        <v>0</v>
      </c>
      <c r="G148" s="12">
        <f t="shared" si="6"/>
        <v>0</v>
      </c>
      <c r="H148" s="12">
        <f t="shared" si="7"/>
        <v>0</v>
      </c>
      <c r="I148" s="12">
        <f t="shared" si="8"/>
        <v>0</v>
      </c>
    </row>
    <row r="149" spans="1:9">
      <c r="A149" s="5" t="s">
        <v>212</v>
      </c>
      <c r="B149" s="1016"/>
      <c r="C149" s="1017">
        <v>813182</v>
      </c>
      <c r="E149" s="3">
        <f>+IFERROR(VLOOKUP(A149,'TB Final'!$A$4:$J$497,5,),0)</f>
        <v>0</v>
      </c>
      <c r="F149" s="3">
        <f>+IFERROR(VLOOKUP(A149,'TB Final'!$A$4:$J$497,8,),0)</f>
        <v>813182</v>
      </c>
      <c r="G149" s="12">
        <f t="shared" si="6"/>
        <v>0</v>
      </c>
      <c r="H149" s="12">
        <f t="shared" si="7"/>
        <v>0</v>
      </c>
      <c r="I149" s="12">
        <f t="shared" si="8"/>
        <v>0</v>
      </c>
    </row>
    <row r="150" spans="1:9">
      <c r="A150" s="5" t="s">
        <v>328</v>
      </c>
      <c r="B150" s="1017">
        <v>17190</v>
      </c>
      <c r="C150" s="1016"/>
      <c r="E150" s="3">
        <f>+IFERROR(VLOOKUP(A150,'TB Final'!$A$4:$J$497,5,),0)</f>
        <v>17190</v>
      </c>
      <c r="F150" s="3">
        <f>+IFERROR(VLOOKUP(A150,'TB Final'!$A$4:$J$497,8,),0)</f>
        <v>0</v>
      </c>
      <c r="G150" s="12">
        <f t="shared" si="6"/>
        <v>0</v>
      </c>
      <c r="H150" s="12">
        <f t="shared" si="7"/>
        <v>0</v>
      </c>
      <c r="I150" s="12">
        <f t="shared" si="8"/>
        <v>0</v>
      </c>
    </row>
    <row r="151" spans="1:9">
      <c r="A151" s="5" t="s">
        <v>573</v>
      </c>
      <c r="B151" s="1017">
        <v>1891381</v>
      </c>
      <c r="C151" s="1016"/>
      <c r="E151" s="3">
        <f>+IFERROR(VLOOKUP(A151,'TB Final'!$A$4:$J$497,5,),0)</f>
        <v>1891381</v>
      </c>
      <c r="F151" s="3">
        <f>+IFERROR(VLOOKUP(A151,'TB Final'!$A$4:$J$497,8,),0)</f>
        <v>0</v>
      </c>
      <c r="G151" s="12">
        <f t="shared" si="6"/>
        <v>0</v>
      </c>
      <c r="H151" s="12">
        <f t="shared" si="7"/>
        <v>0</v>
      </c>
      <c r="I151" s="12">
        <f t="shared" si="8"/>
        <v>0</v>
      </c>
    </row>
    <row r="152" spans="1:9">
      <c r="A152" s="5" t="s">
        <v>330</v>
      </c>
      <c r="B152" s="1017">
        <v>88213</v>
      </c>
      <c r="C152" s="1016"/>
      <c r="E152" s="3">
        <f>+IFERROR(VLOOKUP(A152,'TB Final'!$A$4:$J$497,5,),0)</f>
        <v>88213</v>
      </c>
      <c r="F152" s="3">
        <f>+IFERROR(VLOOKUP(A152,'TB Final'!$A$4:$J$497,8,),0)</f>
        <v>0</v>
      </c>
      <c r="G152" s="12">
        <f t="shared" si="6"/>
        <v>0</v>
      </c>
      <c r="H152" s="12">
        <f t="shared" si="7"/>
        <v>0</v>
      </c>
      <c r="I152" s="12">
        <f t="shared" si="8"/>
        <v>0</v>
      </c>
    </row>
    <row r="153" spans="1:9">
      <c r="A153" s="5" t="s">
        <v>450</v>
      </c>
      <c r="B153" s="1016"/>
      <c r="C153" s="1017">
        <v>193615</v>
      </c>
      <c r="E153" s="3">
        <f>+IFERROR(VLOOKUP(A153,'TB Final'!$A$4:$J$497,5,),0)</f>
        <v>0</v>
      </c>
      <c r="F153" s="3">
        <f>+IFERROR(VLOOKUP(A153,'TB Final'!$A$4:$J$497,8,),0)</f>
        <v>193615</v>
      </c>
      <c r="G153" s="12">
        <f t="shared" si="6"/>
        <v>0</v>
      </c>
      <c r="H153" s="12">
        <f t="shared" si="7"/>
        <v>0</v>
      </c>
      <c r="I153" s="12">
        <f t="shared" si="8"/>
        <v>0</v>
      </c>
    </row>
    <row r="154" spans="1:9">
      <c r="A154" s="5" t="s">
        <v>574</v>
      </c>
      <c r="B154" s="1017">
        <v>250506</v>
      </c>
      <c r="C154" s="1016"/>
      <c r="E154" s="3">
        <f>+IFERROR(VLOOKUP(A154,'TB Final'!$A$4:$J$497,5,),0)</f>
        <v>250506</v>
      </c>
      <c r="F154" s="3">
        <f>+IFERROR(VLOOKUP(A154,'TB Final'!$A$4:$J$497,8,),0)</f>
        <v>0</v>
      </c>
      <c r="G154" s="12">
        <f t="shared" si="6"/>
        <v>0</v>
      </c>
      <c r="H154" s="12">
        <f t="shared" si="7"/>
        <v>0</v>
      </c>
      <c r="I154" s="12">
        <f t="shared" si="8"/>
        <v>0</v>
      </c>
    </row>
    <row r="155" spans="1:9">
      <c r="A155" s="5" t="s">
        <v>575</v>
      </c>
      <c r="B155" s="1017">
        <v>1422847</v>
      </c>
      <c r="C155" s="1016"/>
      <c r="E155" s="3">
        <f>+IFERROR(VLOOKUP(A155,'TB Final'!$A$4:$J$497,5,),0)</f>
        <v>1422847</v>
      </c>
      <c r="F155" s="3">
        <f>+IFERROR(VLOOKUP(A155,'TB Final'!$A$4:$J$497,8,),0)</f>
        <v>0</v>
      </c>
      <c r="G155" s="12">
        <f t="shared" si="6"/>
        <v>0</v>
      </c>
      <c r="H155" s="12">
        <f t="shared" si="7"/>
        <v>0</v>
      </c>
      <c r="I155" s="12">
        <f t="shared" si="8"/>
        <v>0</v>
      </c>
    </row>
    <row r="156" spans="1:9">
      <c r="A156" s="5" t="s">
        <v>218</v>
      </c>
      <c r="B156" s="1017">
        <v>176191</v>
      </c>
      <c r="C156" s="1016"/>
      <c r="E156" s="3">
        <f>+IFERROR(VLOOKUP(A156,'TB Final'!$A$4:$J$497,5,),0)</f>
        <v>176191</v>
      </c>
      <c r="F156" s="3">
        <f>+IFERROR(VLOOKUP(A156,'TB Final'!$A$4:$J$497,8,),0)</f>
        <v>0</v>
      </c>
      <c r="G156" s="12">
        <f t="shared" si="6"/>
        <v>0</v>
      </c>
      <c r="H156" s="12">
        <f t="shared" si="7"/>
        <v>0</v>
      </c>
      <c r="I156" s="12">
        <f t="shared" si="8"/>
        <v>0</v>
      </c>
    </row>
    <row r="157" spans="1:9">
      <c r="A157" s="5" t="s">
        <v>174</v>
      </c>
      <c r="B157" s="1017">
        <v>10975</v>
      </c>
      <c r="C157" s="1016"/>
      <c r="E157" s="3">
        <f>+IFERROR(VLOOKUP(A157,'TB Final'!$A$4:$J$497,5,),0)</f>
        <v>10975</v>
      </c>
      <c r="F157" s="3">
        <f>+IFERROR(VLOOKUP(A157,'TB Final'!$A$4:$J$497,8,),0)</f>
        <v>0</v>
      </c>
      <c r="G157" s="12">
        <f t="shared" si="6"/>
        <v>0</v>
      </c>
      <c r="H157" s="12">
        <f t="shared" si="7"/>
        <v>0</v>
      </c>
      <c r="I157" s="12">
        <f t="shared" si="8"/>
        <v>0</v>
      </c>
    </row>
    <row r="158" spans="1:9">
      <c r="A158" s="5" t="s">
        <v>220</v>
      </c>
      <c r="B158" s="1017">
        <v>458043</v>
      </c>
      <c r="C158" s="1016"/>
      <c r="E158" s="3">
        <f>+IFERROR(VLOOKUP(A158,'TB Final'!$A$4:$J$497,5,),0)</f>
        <v>458043</v>
      </c>
      <c r="F158" s="3">
        <f>+IFERROR(VLOOKUP(A158,'TB Final'!$A$4:$J$497,8,),0)</f>
        <v>0</v>
      </c>
      <c r="G158" s="12">
        <f t="shared" si="6"/>
        <v>0</v>
      </c>
      <c r="H158" s="12">
        <f t="shared" si="7"/>
        <v>0</v>
      </c>
      <c r="I158" s="12">
        <f t="shared" si="8"/>
        <v>0</v>
      </c>
    </row>
    <row r="159" spans="1:9">
      <c r="A159" s="5" t="s">
        <v>223</v>
      </c>
      <c r="B159" s="1016"/>
      <c r="C159" s="1017">
        <v>202145.39</v>
      </c>
      <c r="E159" s="3">
        <f>+IFERROR(VLOOKUP(A159,'TB Final'!$A$4:$J$497,5,),0)</f>
        <v>0</v>
      </c>
      <c r="F159" s="3">
        <f>+IFERROR(VLOOKUP(A159,'TB Final'!$A$4:$J$497,8,),0)</f>
        <v>202145.39</v>
      </c>
      <c r="G159" s="12">
        <f t="shared" si="6"/>
        <v>0</v>
      </c>
      <c r="H159" s="12">
        <f t="shared" si="7"/>
        <v>0</v>
      </c>
      <c r="I159" s="12">
        <f t="shared" si="8"/>
        <v>0</v>
      </c>
    </row>
    <row r="160" spans="1:9">
      <c r="A160" s="5" t="s">
        <v>228</v>
      </c>
      <c r="B160" s="1017">
        <v>29309</v>
      </c>
      <c r="C160" s="1016"/>
      <c r="E160" s="3">
        <f>+IFERROR(VLOOKUP(A160,'TB Final'!$A$4:$J$497,5,),0)</f>
        <v>29309</v>
      </c>
      <c r="F160" s="3">
        <f>+IFERROR(VLOOKUP(A160,'TB Final'!$A$4:$J$497,8,),0)</f>
        <v>0</v>
      </c>
      <c r="G160" s="12">
        <f t="shared" si="6"/>
        <v>0</v>
      </c>
      <c r="H160" s="12">
        <f t="shared" si="7"/>
        <v>0</v>
      </c>
      <c r="I160" s="12">
        <f t="shared" si="8"/>
        <v>0</v>
      </c>
    </row>
    <row r="161" spans="1:9">
      <c r="A161" s="5" t="s">
        <v>229</v>
      </c>
      <c r="B161" s="1017">
        <v>61959</v>
      </c>
      <c r="C161" s="1016"/>
      <c r="E161" s="3">
        <f>+IFERROR(VLOOKUP(A161,'TB Final'!$A$4:$J$497,5,),0)</f>
        <v>61959</v>
      </c>
      <c r="F161" s="3">
        <f>+IFERROR(VLOOKUP(A161,'TB Final'!$A$4:$J$497,8,),0)</f>
        <v>0</v>
      </c>
      <c r="G161" s="12">
        <f t="shared" si="6"/>
        <v>0</v>
      </c>
      <c r="H161" s="12">
        <f t="shared" si="7"/>
        <v>0</v>
      </c>
      <c r="I161" s="12">
        <f t="shared" si="8"/>
        <v>0</v>
      </c>
    </row>
    <row r="162" spans="1:9">
      <c r="A162" s="5" t="s">
        <v>230</v>
      </c>
      <c r="B162" s="1017">
        <v>668</v>
      </c>
      <c r="C162" s="1016"/>
      <c r="E162" s="3">
        <f>+IFERROR(VLOOKUP(A162,'TB Final'!$A$4:$J$497,5,),0)</f>
        <v>668</v>
      </c>
      <c r="F162" s="3">
        <f>+IFERROR(VLOOKUP(A162,'TB Final'!$A$4:$J$497,8,),0)</f>
        <v>0</v>
      </c>
      <c r="G162" s="12">
        <f t="shared" si="6"/>
        <v>0</v>
      </c>
      <c r="H162" s="12">
        <f t="shared" si="7"/>
        <v>0</v>
      </c>
      <c r="I162" s="12">
        <f t="shared" si="8"/>
        <v>0</v>
      </c>
    </row>
    <row r="163" spans="1:9">
      <c r="A163" s="5" t="s">
        <v>232</v>
      </c>
      <c r="B163" s="1017">
        <v>2700</v>
      </c>
      <c r="C163" s="1016"/>
      <c r="E163" s="3">
        <f>+IFERROR(VLOOKUP(A163,'TB Final'!$A$4:$J$497,5,),0)</f>
        <v>2700</v>
      </c>
      <c r="F163" s="3">
        <f>+IFERROR(VLOOKUP(A163,'TB Final'!$A$4:$J$497,8,),0)</f>
        <v>0</v>
      </c>
      <c r="G163" s="12">
        <f t="shared" si="6"/>
        <v>0</v>
      </c>
      <c r="H163" s="12">
        <f t="shared" si="7"/>
        <v>0</v>
      </c>
      <c r="I163" s="12">
        <f t="shared" si="8"/>
        <v>0</v>
      </c>
    </row>
    <row r="164" spans="1:9">
      <c r="A164" s="5" t="s">
        <v>233</v>
      </c>
      <c r="B164" s="1017">
        <v>35488</v>
      </c>
      <c r="C164" s="1016"/>
      <c r="E164" s="3">
        <f>+IFERROR(VLOOKUP(A164,'TB Final'!$A$4:$J$497,5,),0)</f>
        <v>35488</v>
      </c>
      <c r="F164" s="3">
        <f>+IFERROR(VLOOKUP(A164,'TB Final'!$A$4:$J$497,8,),0)</f>
        <v>0</v>
      </c>
      <c r="G164" s="12">
        <f t="shared" si="6"/>
        <v>0</v>
      </c>
      <c r="H164" s="12">
        <f t="shared" si="7"/>
        <v>0</v>
      </c>
      <c r="I164" s="12">
        <f t="shared" si="8"/>
        <v>0</v>
      </c>
    </row>
    <row r="165" spans="1:9">
      <c r="A165" s="5" t="s">
        <v>576</v>
      </c>
      <c r="B165" s="1017">
        <v>200</v>
      </c>
      <c r="C165" s="1016"/>
      <c r="E165" s="3">
        <f>+IFERROR(VLOOKUP(A165,'TB Final'!$A$4:$J$497,5,),0)</f>
        <v>200</v>
      </c>
      <c r="F165" s="3">
        <f>+IFERROR(VLOOKUP(A165,'TB Final'!$A$4:$J$497,8,),0)</f>
        <v>0</v>
      </c>
      <c r="G165" s="12">
        <f t="shared" si="6"/>
        <v>0</v>
      </c>
      <c r="H165" s="12">
        <f t="shared" si="7"/>
        <v>0</v>
      </c>
      <c r="I165" s="12">
        <f t="shared" si="8"/>
        <v>0</v>
      </c>
    </row>
    <row r="166" spans="1:9">
      <c r="A166" s="5" t="s">
        <v>88</v>
      </c>
      <c r="B166" s="1017">
        <v>800</v>
      </c>
      <c r="C166" s="1016"/>
      <c r="E166" s="3">
        <f>+IFERROR(VLOOKUP(A166,'TB Final'!$A$4:$J$497,5,),0)</f>
        <v>800</v>
      </c>
      <c r="F166" s="3">
        <f>+IFERROR(VLOOKUP(A166,'TB Final'!$A$4:$J$497,8,),0)</f>
        <v>0</v>
      </c>
      <c r="G166" s="12">
        <f t="shared" si="6"/>
        <v>0</v>
      </c>
      <c r="H166" s="12">
        <f t="shared" si="7"/>
        <v>0</v>
      </c>
      <c r="I166" s="12">
        <f t="shared" si="8"/>
        <v>0</v>
      </c>
    </row>
    <row r="167" spans="1:9">
      <c r="A167" s="5" t="s">
        <v>577</v>
      </c>
      <c r="B167" s="1017">
        <v>4618</v>
      </c>
      <c r="C167" s="1016"/>
      <c r="E167" s="3">
        <f>+IFERROR(VLOOKUP(A167,'TB Final'!$A$4:$J$497,5,),0)</f>
        <v>4618</v>
      </c>
      <c r="F167" s="3">
        <f>+IFERROR(VLOOKUP(A167,'TB Final'!$A$4:$J$497,8,),0)</f>
        <v>0</v>
      </c>
      <c r="G167" s="12">
        <f t="shared" si="6"/>
        <v>0</v>
      </c>
      <c r="H167" s="12">
        <f t="shared" si="7"/>
        <v>0</v>
      </c>
      <c r="I167" s="12">
        <f t="shared" si="8"/>
        <v>0</v>
      </c>
    </row>
    <row r="168" spans="1:9">
      <c r="A168" s="5" t="s">
        <v>307</v>
      </c>
      <c r="B168" s="1017">
        <v>164180</v>
      </c>
      <c r="C168" s="1016"/>
      <c r="E168" s="3">
        <f>+IFERROR(VLOOKUP(A168,'TB Final'!$A$4:$J$497,5,),0)</f>
        <v>164180</v>
      </c>
      <c r="F168" s="3">
        <f>+IFERROR(VLOOKUP(A168,'TB Final'!$A$4:$J$497,8,),0)</f>
        <v>0</v>
      </c>
      <c r="G168" s="12">
        <f t="shared" si="6"/>
        <v>0</v>
      </c>
      <c r="H168" s="12">
        <f t="shared" si="7"/>
        <v>0</v>
      </c>
      <c r="I168" s="12">
        <f t="shared" si="8"/>
        <v>0</v>
      </c>
    </row>
    <row r="169" spans="1:9">
      <c r="A169" s="5" t="s">
        <v>578</v>
      </c>
      <c r="B169" s="1017">
        <v>6463408</v>
      </c>
      <c r="C169" s="1016"/>
      <c r="E169" s="3">
        <f>+IFERROR(VLOOKUP(A169,'TB Final'!$A$4:$J$497,5,),0)</f>
        <v>6463408</v>
      </c>
      <c r="F169" s="3">
        <f>+IFERROR(VLOOKUP(A169,'TB Final'!$A$4:$J$497,8,),0)</f>
        <v>0</v>
      </c>
      <c r="G169" s="12">
        <f t="shared" si="6"/>
        <v>0</v>
      </c>
      <c r="H169" s="12">
        <f t="shared" si="7"/>
        <v>0</v>
      </c>
      <c r="I169" s="12">
        <f t="shared" si="8"/>
        <v>0</v>
      </c>
    </row>
    <row r="170" spans="1:9">
      <c r="A170" s="5" t="s">
        <v>579</v>
      </c>
      <c r="B170" s="1017">
        <v>1926416</v>
      </c>
      <c r="C170" s="1016"/>
      <c r="E170" s="3">
        <f>+IFERROR(VLOOKUP(A170,'TB Final'!$A$4:$J$497,5,),0)</f>
        <v>1926416</v>
      </c>
      <c r="F170" s="3">
        <f>+IFERROR(VLOOKUP(A170,'TB Final'!$A$4:$J$497,8,),0)</f>
        <v>0</v>
      </c>
      <c r="G170" s="12">
        <f t="shared" si="6"/>
        <v>0</v>
      </c>
      <c r="H170" s="12">
        <f t="shared" si="7"/>
        <v>0</v>
      </c>
      <c r="I170" s="12">
        <f t="shared" si="8"/>
        <v>0</v>
      </c>
    </row>
    <row r="171" spans="1:9">
      <c r="A171" s="5" t="s">
        <v>238</v>
      </c>
      <c r="B171" s="1017">
        <v>200000</v>
      </c>
      <c r="C171" s="1016"/>
      <c r="E171" s="3">
        <f>+IFERROR(VLOOKUP(A171,'TB Final'!$A$4:$J$497,5,),0)</f>
        <v>200000</v>
      </c>
      <c r="F171" s="3">
        <f>+IFERROR(VLOOKUP(A171,'TB Final'!$A$4:$J$497,8,),0)</f>
        <v>0</v>
      </c>
      <c r="G171" s="12">
        <f t="shared" si="6"/>
        <v>0</v>
      </c>
      <c r="H171" s="12">
        <f t="shared" si="7"/>
        <v>0</v>
      </c>
      <c r="I171" s="12">
        <f t="shared" si="8"/>
        <v>0</v>
      </c>
    </row>
    <row r="172" spans="1:9">
      <c r="A172" s="5" t="s">
        <v>580</v>
      </c>
      <c r="B172" s="1017">
        <v>1000</v>
      </c>
      <c r="C172" s="1016"/>
      <c r="E172" s="3">
        <f>+IFERROR(VLOOKUP(A172,'TB Final'!$A$4:$J$497,5,),0)</f>
        <v>1000</v>
      </c>
      <c r="F172" s="3">
        <f>+IFERROR(VLOOKUP(A172,'TB Final'!$A$4:$J$497,8,),0)</f>
        <v>0</v>
      </c>
      <c r="G172" s="12">
        <f t="shared" si="6"/>
        <v>0</v>
      </c>
      <c r="H172" s="12">
        <f t="shared" si="7"/>
        <v>0</v>
      </c>
      <c r="I172" s="12">
        <f t="shared" si="8"/>
        <v>0</v>
      </c>
    </row>
    <row r="173" spans="1:9">
      <c r="A173" s="5" t="s">
        <v>495</v>
      </c>
      <c r="B173" s="1016"/>
      <c r="C173" s="1017">
        <v>143488</v>
      </c>
      <c r="E173" s="3">
        <f>+IFERROR(VLOOKUP(A173,'TB Final'!$A$4:$J$497,5,),0)</f>
        <v>0</v>
      </c>
      <c r="F173" s="3">
        <f>+IFERROR(VLOOKUP(A173,'TB Final'!$A$4:$J$497,8,),0)</f>
        <v>143488</v>
      </c>
      <c r="G173" s="12">
        <f t="shared" si="6"/>
        <v>0</v>
      </c>
      <c r="H173" s="12">
        <f t="shared" si="7"/>
        <v>0</v>
      </c>
      <c r="I173" s="12">
        <f t="shared" si="8"/>
        <v>0</v>
      </c>
    </row>
    <row r="174" spans="1:9">
      <c r="A174" s="5" t="s">
        <v>242</v>
      </c>
      <c r="B174" s="1017">
        <v>231314</v>
      </c>
      <c r="C174" s="1016"/>
      <c r="E174" s="3">
        <f>+IFERROR(VLOOKUP(A174,'TB Final'!$A$4:$J$497,5,),0)</f>
        <v>231314</v>
      </c>
      <c r="F174" s="3">
        <f>+IFERROR(VLOOKUP(A174,'TB Final'!$A$4:$J$497,8,),0)</f>
        <v>0</v>
      </c>
      <c r="G174" s="12">
        <f t="shared" si="6"/>
        <v>0</v>
      </c>
      <c r="H174" s="12">
        <f t="shared" si="7"/>
        <v>0</v>
      </c>
      <c r="I174" s="12">
        <f t="shared" si="8"/>
        <v>0</v>
      </c>
    </row>
    <row r="175" spans="1:9">
      <c r="A175" s="5" t="s">
        <v>244</v>
      </c>
      <c r="B175" s="1016"/>
      <c r="C175" s="1017">
        <v>6623037</v>
      </c>
      <c r="E175" s="3">
        <f>+IFERROR(VLOOKUP(A175,'TB Final'!$A$4:$J$497,5,),0)</f>
        <v>0</v>
      </c>
      <c r="F175" s="3">
        <f>+IFERROR(VLOOKUP(A175,'TB Final'!$A$4:$J$497,8,),0)</f>
        <v>6623037</v>
      </c>
      <c r="G175" s="12">
        <f t="shared" si="6"/>
        <v>0</v>
      </c>
      <c r="H175" s="12">
        <f t="shared" si="7"/>
        <v>0</v>
      </c>
      <c r="I175" s="12">
        <f t="shared" si="8"/>
        <v>0</v>
      </c>
    </row>
    <row r="176" spans="1:9">
      <c r="A176" s="5" t="s">
        <v>496</v>
      </c>
      <c r="B176" s="1017">
        <v>563126</v>
      </c>
      <c r="C176" s="1016"/>
      <c r="E176" s="3">
        <f>+IFERROR(VLOOKUP(A176,'TB Final'!$A$4:$J$497,5,),0)</f>
        <v>563126</v>
      </c>
      <c r="F176" s="3">
        <f>+IFERROR(VLOOKUP(A176,'TB Final'!$A$4:$J$497,8,),0)</f>
        <v>0</v>
      </c>
      <c r="G176" s="12">
        <f t="shared" si="6"/>
        <v>0</v>
      </c>
      <c r="H176" s="12">
        <f t="shared" si="7"/>
        <v>0</v>
      </c>
      <c r="I176" s="12">
        <f t="shared" si="8"/>
        <v>0</v>
      </c>
    </row>
    <row r="177" spans="1:9">
      <c r="A177" s="5" t="s">
        <v>246</v>
      </c>
      <c r="B177" s="1017">
        <v>27000</v>
      </c>
      <c r="C177" s="1016"/>
      <c r="E177" s="3">
        <f>+IFERROR(VLOOKUP(A177,'TB Final'!$A$4:$J$497,5,),0)</f>
        <v>27000</v>
      </c>
      <c r="F177" s="3">
        <f>+IFERROR(VLOOKUP(A177,'TB Final'!$A$4:$J$497,8,),0)</f>
        <v>0</v>
      </c>
      <c r="G177" s="12">
        <f t="shared" si="6"/>
        <v>0</v>
      </c>
      <c r="H177" s="12">
        <f t="shared" si="7"/>
        <v>0</v>
      </c>
      <c r="I177" s="12">
        <f t="shared" si="8"/>
        <v>0</v>
      </c>
    </row>
    <row r="178" spans="1:9">
      <c r="A178" s="5" t="s">
        <v>581</v>
      </c>
      <c r="B178" s="1016"/>
      <c r="C178" s="1017">
        <v>1780152</v>
      </c>
      <c r="E178" s="3">
        <f>+IFERROR(VLOOKUP(A178,'TB Final'!$A$4:$J$497,5,),0)</f>
        <v>0</v>
      </c>
      <c r="F178" s="3">
        <f>+IFERROR(VLOOKUP(A178,'TB Final'!$A$4:$J$497,8,),0)</f>
        <v>1780152</v>
      </c>
      <c r="G178" s="12">
        <f t="shared" si="6"/>
        <v>0</v>
      </c>
      <c r="H178" s="12">
        <f t="shared" si="7"/>
        <v>0</v>
      </c>
      <c r="I178" s="12">
        <f t="shared" si="8"/>
        <v>0</v>
      </c>
    </row>
    <row r="179" spans="1:9">
      <c r="A179" s="5" t="s">
        <v>582</v>
      </c>
      <c r="B179" s="1016"/>
      <c r="C179" s="1017">
        <v>6248304</v>
      </c>
      <c r="E179" s="3">
        <f>+IFERROR(VLOOKUP(A179,'TB Final'!$A$4:$J$497,5,),0)</f>
        <v>0</v>
      </c>
      <c r="F179" s="3">
        <f>+IFERROR(VLOOKUP(A179,'TB Final'!$A$4:$J$497,8,),0)</f>
        <v>6248304</v>
      </c>
      <c r="G179" s="12">
        <f t="shared" si="6"/>
        <v>0</v>
      </c>
      <c r="H179" s="12">
        <f t="shared" si="7"/>
        <v>0</v>
      </c>
      <c r="I179" s="12">
        <f t="shared" si="8"/>
        <v>0</v>
      </c>
    </row>
    <row r="180" spans="1:9">
      <c r="A180" s="5" t="s">
        <v>248</v>
      </c>
      <c r="B180" s="1016"/>
      <c r="C180" s="1017">
        <v>4071040</v>
      </c>
      <c r="E180" s="3">
        <f>+IFERROR(VLOOKUP(A180,'TB Final'!$A$4:$J$497,5,),0)</f>
        <v>0</v>
      </c>
      <c r="F180" s="3">
        <f>+IFERROR(VLOOKUP(A180,'TB Final'!$A$4:$J$497,8,),0)</f>
        <v>4071040</v>
      </c>
      <c r="G180" s="12">
        <f t="shared" si="6"/>
        <v>0</v>
      </c>
      <c r="H180" s="12">
        <f t="shared" si="7"/>
        <v>0</v>
      </c>
      <c r="I180" s="12">
        <f t="shared" si="8"/>
        <v>0</v>
      </c>
    </row>
    <row r="181" spans="1:9">
      <c r="A181" s="5" t="s">
        <v>249</v>
      </c>
      <c r="B181" s="1016"/>
      <c r="C181" s="1017">
        <v>12525978.300000001</v>
      </c>
      <c r="E181" s="3">
        <f>+IFERROR(VLOOKUP(A181,'TB Final'!$A$4:$J$497,5,),0)</f>
        <v>0</v>
      </c>
      <c r="F181" s="3">
        <f>+IFERROR(VLOOKUP(A181,'TB Final'!$A$4:$J$497,8,),0)</f>
        <v>12525978.300000001</v>
      </c>
      <c r="G181" s="12">
        <f t="shared" si="6"/>
        <v>0</v>
      </c>
      <c r="H181" s="12">
        <f t="shared" si="7"/>
        <v>0</v>
      </c>
      <c r="I181" s="12">
        <f t="shared" si="8"/>
        <v>0</v>
      </c>
    </row>
    <row r="182" spans="1:9">
      <c r="A182" s="5" t="s">
        <v>517</v>
      </c>
      <c r="B182" s="1016"/>
      <c r="C182" s="1017">
        <v>481820</v>
      </c>
      <c r="E182" s="3">
        <f>+IFERROR(VLOOKUP(A182,'TB Final'!$A$4:$J$497,5,),0)</f>
        <v>0</v>
      </c>
      <c r="F182" s="3">
        <f>+IFERROR(VLOOKUP(A182,'TB Final'!$A$4:$J$497,8,),0)</f>
        <v>481820</v>
      </c>
      <c r="G182" s="12">
        <f t="shared" si="6"/>
        <v>0</v>
      </c>
      <c r="H182" s="12">
        <f t="shared" si="7"/>
        <v>0</v>
      </c>
      <c r="I182" s="12">
        <f t="shared" si="8"/>
        <v>0</v>
      </c>
    </row>
    <row r="183" spans="1:9">
      <c r="A183" s="5" t="s">
        <v>247</v>
      </c>
      <c r="B183" s="1016"/>
      <c r="C183" s="1017">
        <v>6711</v>
      </c>
      <c r="E183" s="3">
        <f>+IFERROR(VLOOKUP(A183,'TB Final'!$A$4:$J$497,5,),0)</f>
        <v>0</v>
      </c>
      <c r="F183" s="3">
        <f>+IFERROR(VLOOKUP(A183,'TB Final'!$A$4:$J$497,8,),0)</f>
        <v>6711</v>
      </c>
      <c r="G183" s="12">
        <f t="shared" si="6"/>
        <v>0</v>
      </c>
      <c r="H183" s="12">
        <f t="shared" si="7"/>
        <v>0</v>
      </c>
      <c r="I183" s="12">
        <f t="shared" si="8"/>
        <v>0</v>
      </c>
    </row>
    <row r="184" spans="1:9">
      <c r="A184" s="5" t="s">
        <v>251</v>
      </c>
      <c r="B184" s="1017">
        <v>2000</v>
      </c>
      <c r="C184" s="1016"/>
      <c r="E184" s="3">
        <f>+IFERROR(VLOOKUP(A184,'TB Final'!$A$4:$J$497,5,),0)</f>
        <v>2000</v>
      </c>
      <c r="F184" s="3">
        <f>+IFERROR(VLOOKUP(A184,'TB Final'!$A$4:$J$497,8,),0)</f>
        <v>0</v>
      </c>
      <c r="G184" s="12">
        <f t="shared" si="6"/>
        <v>0</v>
      </c>
      <c r="H184" s="12">
        <f t="shared" si="7"/>
        <v>0</v>
      </c>
      <c r="I184" s="12">
        <f t="shared" si="8"/>
        <v>0</v>
      </c>
    </row>
    <row r="185" spans="1:9">
      <c r="A185" s="5" t="s">
        <v>253</v>
      </c>
      <c r="B185" s="1017">
        <v>13776</v>
      </c>
      <c r="C185" s="1016"/>
      <c r="E185" s="3">
        <f>+IFERROR(VLOOKUP(A185,'TB Final'!$A$4:$J$497,5,),0)</f>
        <v>13776</v>
      </c>
      <c r="F185" s="3">
        <f>+IFERROR(VLOOKUP(A185,'TB Final'!$A$4:$J$497,8,),0)</f>
        <v>0</v>
      </c>
      <c r="G185" s="12">
        <f t="shared" si="6"/>
        <v>0</v>
      </c>
      <c r="H185" s="12">
        <f t="shared" si="7"/>
        <v>0</v>
      </c>
      <c r="I185" s="12">
        <f t="shared" si="8"/>
        <v>0</v>
      </c>
    </row>
    <row r="186" spans="1:9">
      <c r="A186" s="5" t="s">
        <v>254</v>
      </c>
      <c r="B186" s="1017">
        <v>23215022</v>
      </c>
      <c r="C186" s="1016"/>
      <c r="E186" s="3">
        <f>+IFERROR(VLOOKUP(A186,'TB Final'!$A$4:$J$497,5,),0)</f>
        <v>23215022</v>
      </c>
      <c r="F186" s="3">
        <f>+IFERROR(VLOOKUP(A186,'TB Final'!$A$4:$J$497,8,),0)</f>
        <v>0</v>
      </c>
      <c r="G186" s="12">
        <f t="shared" si="6"/>
        <v>0</v>
      </c>
      <c r="H186" s="12">
        <f t="shared" si="7"/>
        <v>0</v>
      </c>
      <c r="I186" s="12">
        <f t="shared" si="8"/>
        <v>0</v>
      </c>
    </row>
    <row r="187" spans="1:9">
      <c r="A187" s="5" t="s">
        <v>454</v>
      </c>
      <c r="B187" s="1016"/>
      <c r="C187" s="1017">
        <v>11543115</v>
      </c>
      <c r="E187" s="3">
        <f>+IFERROR(VLOOKUP(A187,'TB Final'!$A$4:$J$497,5,),0)</f>
        <v>0</v>
      </c>
      <c r="F187" s="3">
        <f>+IFERROR(VLOOKUP(A187,'TB Final'!$A$4:$J$497,8,),0)</f>
        <v>11543115</v>
      </c>
      <c r="G187" s="12">
        <f t="shared" si="6"/>
        <v>0</v>
      </c>
      <c r="H187" s="12">
        <f t="shared" si="7"/>
        <v>0</v>
      </c>
      <c r="I187" s="12">
        <f t="shared" si="8"/>
        <v>0</v>
      </c>
    </row>
    <row r="188" spans="1:9">
      <c r="A188" s="5" t="s">
        <v>255</v>
      </c>
      <c r="B188" s="1017">
        <v>279</v>
      </c>
      <c r="C188" s="1016"/>
      <c r="E188" s="3">
        <f>+IFERROR(VLOOKUP(A188,'TB Final'!$A$4:$J$497,5,),0)</f>
        <v>279</v>
      </c>
      <c r="F188" s="3">
        <f>+IFERROR(VLOOKUP(A188,'TB Final'!$A$4:$J$497,8,),0)</f>
        <v>0</v>
      </c>
      <c r="G188" s="12">
        <f t="shared" si="6"/>
        <v>0</v>
      </c>
      <c r="H188" s="12">
        <f t="shared" si="7"/>
        <v>0</v>
      </c>
      <c r="I188" s="12">
        <f t="shared" si="8"/>
        <v>0</v>
      </c>
    </row>
    <row r="189" spans="1:9">
      <c r="A189" s="5" t="s">
        <v>497</v>
      </c>
      <c r="B189" s="1016"/>
      <c r="C189" s="1017">
        <v>588420</v>
      </c>
      <c r="E189" s="3">
        <f>+IFERROR(VLOOKUP(A189,'TB Final'!$A$4:$J$497,5,),0)</f>
        <v>0</v>
      </c>
      <c r="F189" s="3">
        <f>+IFERROR(VLOOKUP(A189,'TB Final'!$A$4:$J$497,8,),0)</f>
        <v>588420</v>
      </c>
      <c r="G189" s="12">
        <f t="shared" si="6"/>
        <v>0</v>
      </c>
      <c r="H189" s="12">
        <f t="shared" si="7"/>
        <v>0</v>
      </c>
      <c r="I189" s="12">
        <f t="shared" si="8"/>
        <v>0</v>
      </c>
    </row>
    <row r="190" spans="1:9">
      <c r="A190" s="5" t="s">
        <v>256</v>
      </c>
      <c r="B190" s="1017">
        <v>233275</v>
      </c>
      <c r="C190" s="1016"/>
      <c r="E190" s="3">
        <f>+IFERROR(VLOOKUP(A190,'TB Final'!$A$4:$J$497,5,),0)</f>
        <v>233275</v>
      </c>
      <c r="F190" s="3">
        <f>+IFERROR(VLOOKUP(A190,'TB Final'!$A$4:$J$497,8,),0)</f>
        <v>0</v>
      </c>
      <c r="G190" s="12">
        <f t="shared" si="6"/>
        <v>0</v>
      </c>
      <c r="H190" s="12">
        <f t="shared" si="7"/>
        <v>0</v>
      </c>
      <c r="I190" s="12">
        <f t="shared" si="8"/>
        <v>0</v>
      </c>
    </row>
    <row r="191" spans="1:9">
      <c r="A191" s="5" t="s">
        <v>257</v>
      </c>
      <c r="B191" s="1016"/>
      <c r="C191" s="1017">
        <v>233275</v>
      </c>
      <c r="E191" s="3">
        <f>+IFERROR(VLOOKUP(A191,'TB Final'!$A$4:$J$497,5,),0)</f>
        <v>0</v>
      </c>
      <c r="F191" s="3">
        <f>+IFERROR(VLOOKUP(A191,'TB Final'!$A$4:$J$497,8,),0)</f>
        <v>233275</v>
      </c>
      <c r="G191" s="12">
        <f t="shared" si="6"/>
        <v>0</v>
      </c>
      <c r="H191" s="12">
        <f t="shared" si="7"/>
        <v>0</v>
      </c>
      <c r="I191" s="12">
        <f t="shared" si="8"/>
        <v>0</v>
      </c>
    </row>
    <row r="192" spans="1:9">
      <c r="A192" s="5" t="s">
        <v>258</v>
      </c>
      <c r="B192" s="1017">
        <v>124144</v>
      </c>
      <c r="C192" s="1016"/>
      <c r="E192" s="3">
        <f>+IFERROR(VLOOKUP(A192,'TB Final'!$A$4:$J$497,5,),0)</f>
        <v>124144</v>
      </c>
      <c r="F192" s="3">
        <f>+IFERROR(VLOOKUP(A192,'TB Final'!$A$4:$J$497,8,),0)</f>
        <v>0</v>
      </c>
      <c r="G192" s="12">
        <f t="shared" si="6"/>
        <v>0</v>
      </c>
      <c r="H192" s="12">
        <f t="shared" si="7"/>
        <v>0</v>
      </c>
      <c r="I192" s="12">
        <f t="shared" si="8"/>
        <v>0</v>
      </c>
    </row>
    <row r="193" spans="1:9">
      <c r="A193" s="5" t="s">
        <v>252</v>
      </c>
      <c r="B193" s="1016"/>
      <c r="C193" s="1017">
        <v>42465</v>
      </c>
      <c r="E193" s="3">
        <f>+IFERROR(VLOOKUP(A193,'TB Final'!$A$4:$J$497,5,),0)</f>
        <v>0</v>
      </c>
      <c r="F193" s="3">
        <f>+IFERROR(VLOOKUP(A193,'TB Final'!$A$4:$J$497,8,),0)</f>
        <v>42465</v>
      </c>
      <c r="G193" s="12">
        <f t="shared" si="6"/>
        <v>0</v>
      </c>
      <c r="H193" s="12">
        <f t="shared" si="7"/>
        <v>0</v>
      </c>
      <c r="I193" s="12">
        <f t="shared" si="8"/>
        <v>0</v>
      </c>
    </row>
    <row r="194" spans="1:9">
      <c r="A194" s="5" t="s">
        <v>259</v>
      </c>
      <c r="B194" s="1016"/>
      <c r="C194" s="1017">
        <v>2296047.5</v>
      </c>
      <c r="E194" s="3">
        <f>+IFERROR(VLOOKUP(A194,'TB Final'!$A$4:$J$497,5,),0)</f>
        <v>0</v>
      </c>
      <c r="F194" s="3">
        <f>+IFERROR(VLOOKUP(A194,'TB Final'!$A$4:$J$497,8,),0)</f>
        <v>2296047.5</v>
      </c>
      <c r="G194" s="12">
        <f t="shared" si="6"/>
        <v>0</v>
      </c>
      <c r="H194" s="12">
        <f t="shared" si="7"/>
        <v>0</v>
      </c>
      <c r="I194" s="12">
        <f t="shared" si="8"/>
        <v>0</v>
      </c>
    </row>
    <row r="195" spans="1:9">
      <c r="A195" s="5" t="s">
        <v>260</v>
      </c>
      <c r="B195" s="1017">
        <v>278137</v>
      </c>
      <c r="C195" s="1016"/>
      <c r="E195" s="3">
        <f>+IFERROR(VLOOKUP(A195,'TB Final'!$A$4:$J$497,5,),0)</f>
        <v>278137</v>
      </c>
      <c r="F195" s="3">
        <f>+IFERROR(VLOOKUP(A195,'TB Final'!$A$4:$J$497,8,),0)</f>
        <v>0</v>
      </c>
      <c r="G195" s="12">
        <f t="shared" si="6"/>
        <v>0</v>
      </c>
      <c r="H195" s="12">
        <f t="shared" si="7"/>
        <v>0</v>
      </c>
      <c r="I195" s="12">
        <f t="shared" si="8"/>
        <v>0</v>
      </c>
    </row>
    <row r="196" spans="1:9">
      <c r="A196" s="5" t="s">
        <v>261</v>
      </c>
      <c r="B196" s="1017">
        <v>2223912</v>
      </c>
      <c r="C196" s="1016"/>
      <c r="E196" s="3">
        <f>+IFERROR(VLOOKUP(A196,'TB Final'!$A$4:$J$497,5,),0)</f>
        <v>2223912</v>
      </c>
      <c r="F196" s="3">
        <f>+IFERROR(VLOOKUP(A196,'TB Final'!$A$4:$J$497,8,),0)</f>
        <v>0</v>
      </c>
      <c r="G196" s="12">
        <f t="shared" si="6"/>
        <v>0</v>
      </c>
      <c r="H196" s="12">
        <f t="shared" si="7"/>
        <v>0</v>
      </c>
      <c r="I196" s="12">
        <f t="shared" si="8"/>
        <v>0</v>
      </c>
    </row>
    <row r="197" spans="1:9">
      <c r="A197" s="5" t="s">
        <v>263</v>
      </c>
      <c r="B197" s="1017">
        <v>3638432.81</v>
      </c>
      <c r="C197" s="1016"/>
      <c r="E197" s="3">
        <f>+IFERROR(VLOOKUP(A197,'TB Final'!$A$4:$J$497,5,),0)</f>
        <v>3638432.81</v>
      </c>
      <c r="F197" s="3">
        <f>+IFERROR(VLOOKUP(A197,'TB Final'!$A$4:$J$497,8,),0)</f>
        <v>0</v>
      </c>
      <c r="G197" s="12">
        <f t="shared" si="6"/>
        <v>0</v>
      </c>
      <c r="H197" s="12">
        <f t="shared" si="7"/>
        <v>0</v>
      </c>
      <c r="I197" s="12">
        <f t="shared" si="8"/>
        <v>0</v>
      </c>
    </row>
    <row r="198" spans="1:9">
      <c r="A198" s="5" t="s">
        <v>583</v>
      </c>
      <c r="B198" s="1017">
        <v>225741.23</v>
      </c>
      <c r="C198" s="1016"/>
      <c r="E198" s="3">
        <f>+IFERROR(VLOOKUP(A198,'TB Final'!$A$4:$J$497,5,),0)</f>
        <v>225741.23</v>
      </c>
      <c r="F198" s="3">
        <f>+IFERROR(VLOOKUP(A198,'TB Final'!$A$4:$J$497,8,),0)</f>
        <v>0</v>
      </c>
      <c r="G198" s="12">
        <f t="shared" si="6"/>
        <v>0</v>
      </c>
      <c r="H198" s="12">
        <f t="shared" si="7"/>
        <v>0</v>
      </c>
      <c r="I198" s="12">
        <f t="shared" si="8"/>
        <v>0</v>
      </c>
    </row>
    <row r="199" spans="1:9">
      <c r="A199" s="5" t="s">
        <v>2766</v>
      </c>
      <c r="B199" s="1016"/>
      <c r="C199" s="1017">
        <v>533042</v>
      </c>
      <c r="E199" s="3">
        <f>+IFERROR(VLOOKUP(A199,'TB Final'!$A$4:$J$497,5,),0)</f>
        <v>0</v>
      </c>
      <c r="F199" s="3">
        <f>+IFERROR(VLOOKUP(A199,'TB Final'!$A$4:$J$497,8,),0)</f>
        <v>533042</v>
      </c>
      <c r="G199" s="12">
        <f t="shared" si="6"/>
        <v>0</v>
      </c>
      <c r="H199" s="12">
        <f t="shared" si="7"/>
        <v>0</v>
      </c>
      <c r="I199" s="12">
        <f t="shared" si="8"/>
        <v>0</v>
      </c>
    </row>
    <row r="200" spans="1:9">
      <c r="A200" s="5" t="s">
        <v>264</v>
      </c>
      <c r="B200" s="1017">
        <v>7944212</v>
      </c>
      <c r="C200" s="1016"/>
      <c r="E200" s="3">
        <f>+IFERROR(VLOOKUP(A200,'TB Final'!$A$4:$J$497,5,),0)</f>
        <v>7944212</v>
      </c>
      <c r="F200" s="3">
        <f>+IFERROR(VLOOKUP(A200,'TB Final'!$A$4:$J$497,8,),0)</f>
        <v>0</v>
      </c>
      <c r="G200" s="12">
        <f t="shared" si="6"/>
        <v>0</v>
      </c>
      <c r="H200" s="12">
        <f t="shared" si="7"/>
        <v>0</v>
      </c>
      <c r="I200" s="12">
        <f t="shared" si="8"/>
        <v>0</v>
      </c>
    </row>
    <row r="201" spans="1:9">
      <c r="A201" s="5" t="s">
        <v>265</v>
      </c>
      <c r="B201" s="1017">
        <v>21000</v>
      </c>
      <c r="C201" s="1016"/>
      <c r="E201" s="3">
        <f>+IFERROR(VLOOKUP(A201,'TB Final'!$A$4:$J$497,5,),0)</f>
        <v>21000</v>
      </c>
      <c r="F201" s="3">
        <f>+IFERROR(VLOOKUP(A201,'TB Final'!$A$4:$J$497,8,),0)</f>
        <v>0</v>
      </c>
      <c r="G201" s="12">
        <f t="shared" si="6"/>
        <v>0</v>
      </c>
      <c r="H201" s="12">
        <f t="shared" si="7"/>
        <v>0</v>
      </c>
      <c r="I201" s="12">
        <f t="shared" si="8"/>
        <v>0</v>
      </c>
    </row>
    <row r="202" spans="1:9">
      <c r="A202" s="5" t="s">
        <v>21</v>
      </c>
      <c r="B202" s="1016"/>
      <c r="C202" s="1017">
        <v>3597683</v>
      </c>
      <c r="E202" s="3">
        <f>+IFERROR(VLOOKUP(A202,'TB Final'!$A$4:$J$497,5,),0)</f>
        <v>0</v>
      </c>
      <c r="F202" s="3">
        <f>+IFERROR(VLOOKUP(A202,'TB Final'!$A$4:$J$497,8,),0)</f>
        <v>3597683</v>
      </c>
      <c r="G202" s="12">
        <f t="shared" si="6"/>
        <v>0</v>
      </c>
      <c r="H202" s="12">
        <f t="shared" si="7"/>
        <v>0</v>
      </c>
      <c r="I202" s="12">
        <f t="shared" si="8"/>
        <v>0</v>
      </c>
    </row>
    <row r="203" spans="1:9">
      <c r="A203" s="5" t="s">
        <v>266</v>
      </c>
      <c r="B203" s="1016"/>
      <c r="C203" s="1017">
        <v>218293</v>
      </c>
      <c r="E203" s="3">
        <f>+IFERROR(VLOOKUP(A203,'TB Final'!$A$4:$J$497,5,),0)</f>
        <v>0</v>
      </c>
      <c r="F203" s="3">
        <f>+IFERROR(VLOOKUP(A203,'TB Final'!$A$4:$J$497,8,),0)</f>
        <v>218293</v>
      </c>
      <c r="G203" s="12">
        <f t="shared" si="6"/>
        <v>0</v>
      </c>
      <c r="H203" s="12">
        <f t="shared" si="7"/>
        <v>0</v>
      </c>
      <c r="I203" s="12">
        <f t="shared" si="8"/>
        <v>0</v>
      </c>
    </row>
    <row r="204" spans="1:9">
      <c r="A204" s="5" t="s">
        <v>2764</v>
      </c>
      <c r="B204" s="1016"/>
      <c r="C204" s="1017">
        <v>7528</v>
      </c>
      <c r="E204" s="3">
        <f>+IFERROR(VLOOKUP(A204,'TB Final'!$A$4:$J$497,5,),0)</f>
        <v>0</v>
      </c>
      <c r="F204" s="3">
        <f>+IFERROR(VLOOKUP(A204,'TB Final'!$A$4:$J$497,8,),0)</f>
        <v>7528</v>
      </c>
      <c r="G204" s="12">
        <f t="shared" si="6"/>
        <v>0</v>
      </c>
      <c r="H204" s="12">
        <f t="shared" si="7"/>
        <v>0</v>
      </c>
      <c r="I204" s="12">
        <f t="shared" si="8"/>
        <v>0</v>
      </c>
    </row>
    <row r="205" spans="1:9">
      <c r="A205" s="5" t="s">
        <v>267</v>
      </c>
      <c r="B205" s="1016"/>
      <c r="C205" s="1017">
        <v>27100</v>
      </c>
      <c r="E205" s="3">
        <f>+IFERROR(VLOOKUP(A205,'TB Final'!$A$4:$J$497,5,),0)</f>
        <v>0</v>
      </c>
      <c r="F205" s="3">
        <f>+IFERROR(VLOOKUP(A205,'TB Final'!$A$4:$J$497,8,),0)</f>
        <v>27100</v>
      </c>
      <c r="G205" s="12">
        <f t="shared" ref="G205:G268" si="9">+B205-E205</f>
        <v>0</v>
      </c>
      <c r="H205" s="12">
        <f t="shared" ref="H205:H268" si="10">+C205-F205</f>
        <v>0</v>
      </c>
      <c r="I205" s="12">
        <f t="shared" ref="I205:I268" si="11">+SUM(G205:H205)</f>
        <v>0</v>
      </c>
    </row>
    <row r="206" spans="1:9">
      <c r="A206" s="5" t="s">
        <v>268</v>
      </c>
      <c r="B206" s="1017">
        <v>32000</v>
      </c>
      <c r="C206" s="1016"/>
      <c r="E206" s="3">
        <f>+IFERROR(VLOOKUP(A206,'TB Final'!$A$4:$J$497,5,),0)</f>
        <v>32000</v>
      </c>
      <c r="F206" s="3">
        <f>+IFERROR(VLOOKUP(A206,'TB Final'!$A$4:$J$497,8,),0)</f>
        <v>0</v>
      </c>
      <c r="G206" s="12">
        <f t="shared" si="9"/>
        <v>0</v>
      </c>
      <c r="H206" s="12">
        <f t="shared" si="10"/>
        <v>0</v>
      </c>
      <c r="I206" s="12">
        <f t="shared" si="11"/>
        <v>0</v>
      </c>
    </row>
    <row r="207" spans="1:9">
      <c r="A207" s="5" t="s">
        <v>584</v>
      </c>
      <c r="B207" s="1017">
        <v>3000</v>
      </c>
      <c r="C207" s="1016"/>
      <c r="E207" s="3">
        <f>+IFERROR(VLOOKUP(A207,'TB Final'!$A$4:$J$497,5,),0)</f>
        <v>3000</v>
      </c>
      <c r="F207" s="3">
        <f>+IFERROR(VLOOKUP(A207,'TB Final'!$A$4:$J$497,8,),0)</f>
        <v>0</v>
      </c>
      <c r="G207" s="12">
        <f t="shared" si="9"/>
        <v>0</v>
      </c>
      <c r="H207" s="12">
        <f t="shared" si="10"/>
        <v>0</v>
      </c>
      <c r="I207" s="12">
        <f t="shared" si="11"/>
        <v>0</v>
      </c>
    </row>
    <row r="208" spans="1:9">
      <c r="A208" s="5" t="s">
        <v>585</v>
      </c>
      <c r="B208" s="1017">
        <v>194520</v>
      </c>
      <c r="C208" s="1016"/>
      <c r="E208" s="3">
        <f>+IFERROR(VLOOKUP(A208,'TB Final'!$A$4:$J$497,5,),0)</f>
        <v>194520</v>
      </c>
      <c r="F208" s="3">
        <f>+IFERROR(VLOOKUP(A208,'TB Final'!$A$4:$J$497,8,),0)</f>
        <v>0</v>
      </c>
      <c r="G208" s="12">
        <f t="shared" si="9"/>
        <v>0</v>
      </c>
      <c r="H208" s="12">
        <f t="shared" si="10"/>
        <v>0</v>
      </c>
      <c r="I208" s="12">
        <f t="shared" si="11"/>
        <v>0</v>
      </c>
    </row>
    <row r="209" spans="1:9">
      <c r="A209" s="5" t="s">
        <v>2384</v>
      </c>
      <c r="B209" s="1017">
        <v>9980</v>
      </c>
      <c r="C209" s="1016"/>
      <c r="E209" s="3">
        <f>+IFERROR(VLOOKUP(A209,'TB Final'!$A$4:$J$497,5,),0)</f>
        <v>9980</v>
      </c>
      <c r="F209" s="3">
        <f>+IFERROR(VLOOKUP(A209,'TB Final'!$A$4:$J$497,8,),0)</f>
        <v>0</v>
      </c>
      <c r="G209" s="12">
        <f t="shared" si="9"/>
        <v>0</v>
      </c>
      <c r="H209" s="12">
        <f t="shared" si="10"/>
        <v>0</v>
      </c>
      <c r="I209" s="12">
        <f t="shared" si="11"/>
        <v>0</v>
      </c>
    </row>
    <row r="210" spans="1:9">
      <c r="A210" s="5" t="s">
        <v>2767</v>
      </c>
      <c r="B210" s="1016"/>
      <c r="C210" s="1017">
        <v>996630</v>
      </c>
      <c r="E210" s="3">
        <f>+IFERROR(VLOOKUP(A210,'TB Final'!$A$4:$J$497,5,),0)</f>
        <v>0</v>
      </c>
      <c r="F210" s="3">
        <f>+IFERROR(VLOOKUP(A210,'TB Final'!$A$4:$J$497,8,),0)</f>
        <v>996630</v>
      </c>
      <c r="G210" s="12">
        <f t="shared" si="9"/>
        <v>0</v>
      </c>
      <c r="H210" s="12">
        <f t="shared" si="10"/>
        <v>0</v>
      </c>
      <c r="I210" s="12">
        <f t="shared" si="11"/>
        <v>0</v>
      </c>
    </row>
    <row r="211" spans="1:9">
      <c r="A211" s="5" t="s">
        <v>498</v>
      </c>
      <c r="B211" s="1016"/>
      <c r="C211" s="1017">
        <v>32397</v>
      </c>
      <c r="E211" s="3">
        <f>+IFERROR(VLOOKUP(A211,'TB Final'!$A$4:$J$497,5,),0)</f>
        <v>0</v>
      </c>
      <c r="F211" s="3">
        <f>+IFERROR(VLOOKUP(A211,'TB Final'!$A$4:$J$497,8,),0)</f>
        <v>32397</v>
      </c>
      <c r="G211" s="12">
        <f t="shared" si="9"/>
        <v>0</v>
      </c>
      <c r="H211" s="12">
        <f t="shared" si="10"/>
        <v>0</v>
      </c>
      <c r="I211" s="12">
        <f t="shared" si="11"/>
        <v>0</v>
      </c>
    </row>
    <row r="212" spans="1:9">
      <c r="A212" s="5" t="s">
        <v>586</v>
      </c>
      <c r="B212" s="1016"/>
      <c r="C212" s="1017">
        <v>81650</v>
      </c>
      <c r="E212" s="3">
        <f>+IFERROR(VLOOKUP(A212,'TB Final'!$A$4:$J$497,5,),0)</f>
        <v>0</v>
      </c>
      <c r="F212" s="3">
        <f>+IFERROR(VLOOKUP(A212,'TB Final'!$A$4:$J$497,8,),0)</f>
        <v>81650</v>
      </c>
      <c r="G212" s="12">
        <f t="shared" si="9"/>
        <v>0</v>
      </c>
      <c r="H212" s="12">
        <f t="shared" si="10"/>
        <v>0</v>
      </c>
      <c r="I212" s="12">
        <f t="shared" si="11"/>
        <v>0</v>
      </c>
    </row>
    <row r="213" spans="1:9">
      <c r="A213" s="5" t="s">
        <v>455</v>
      </c>
      <c r="B213" s="1017">
        <v>27000</v>
      </c>
      <c r="C213" s="1016"/>
      <c r="E213" s="3">
        <f>+IFERROR(VLOOKUP(A213,'TB Final'!$A$4:$J$497,5,),0)</f>
        <v>27000</v>
      </c>
      <c r="F213" s="3">
        <f>+IFERROR(VLOOKUP(A213,'TB Final'!$A$4:$J$497,8,),0)</f>
        <v>0</v>
      </c>
      <c r="G213" s="12">
        <f t="shared" si="9"/>
        <v>0</v>
      </c>
      <c r="H213" s="12">
        <f t="shared" si="10"/>
        <v>0</v>
      </c>
      <c r="I213" s="12">
        <f t="shared" si="11"/>
        <v>0</v>
      </c>
    </row>
    <row r="214" spans="1:9">
      <c r="A214" s="5" t="s">
        <v>23</v>
      </c>
      <c r="B214" s="1017">
        <v>5000</v>
      </c>
      <c r="C214" s="1016"/>
      <c r="E214" s="3">
        <f>+IFERROR(VLOOKUP(A214,'TB Final'!$A$4:$J$497,5,),0)</f>
        <v>5000</v>
      </c>
      <c r="F214" s="3">
        <f>+IFERROR(VLOOKUP(A214,'TB Final'!$A$4:$J$497,8,),0)</f>
        <v>0</v>
      </c>
      <c r="G214" s="12">
        <f t="shared" si="9"/>
        <v>0</v>
      </c>
      <c r="H214" s="12">
        <f t="shared" si="10"/>
        <v>0</v>
      </c>
      <c r="I214" s="12">
        <f t="shared" si="11"/>
        <v>0</v>
      </c>
    </row>
    <row r="215" spans="1:9">
      <c r="A215" s="5" t="s">
        <v>274</v>
      </c>
      <c r="B215" s="1017">
        <v>14000</v>
      </c>
      <c r="C215" s="1016"/>
      <c r="E215" s="3">
        <f>+IFERROR(VLOOKUP(A215,'TB Final'!$A$4:$J$497,5,),0)</f>
        <v>14000</v>
      </c>
      <c r="F215" s="3">
        <f>+IFERROR(VLOOKUP(A215,'TB Final'!$A$4:$J$497,8,),0)</f>
        <v>0</v>
      </c>
      <c r="G215" s="12">
        <f t="shared" si="9"/>
        <v>0</v>
      </c>
      <c r="H215" s="12">
        <f t="shared" si="10"/>
        <v>0</v>
      </c>
      <c r="I215" s="12">
        <f t="shared" si="11"/>
        <v>0</v>
      </c>
    </row>
    <row r="216" spans="1:9">
      <c r="A216" s="5" t="s">
        <v>40</v>
      </c>
      <c r="B216" s="1017">
        <v>7000</v>
      </c>
      <c r="C216" s="1016"/>
      <c r="E216" s="3">
        <f>+IFERROR(VLOOKUP(A216,'TB Final'!$A$4:$J$497,5,),0)</f>
        <v>7000</v>
      </c>
      <c r="F216" s="3">
        <f>+IFERROR(VLOOKUP(A216,'TB Final'!$A$4:$J$497,8,),0)</f>
        <v>0</v>
      </c>
      <c r="G216" s="12">
        <f t="shared" si="9"/>
        <v>0</v>
      </c>
      <c r="H216" s="12">
        <f t="shared" si="10"/>
        <v>0</v>
      </c>
      <c r="I216" s="12">
        <f t="shared" si="11"/>
        <v>0</v>
      </c>
    </row>
    <row r="217" spans="1:9">
      <c r="A217" s="5" t="s">
        <v>587</v>
      </c>
      <c r="B217" s="1017">
        <v>145550</v>
      </c>
      <c r="C217" s="1016"/>
      <c r="E217" s="3">
        <f>+IFERROR(VLOOKUP(A217,'TB Final'!$A$4:$J$497,5,),0)</f>
        <v>145550</v>
      </c>
      <c r="F217" s="3">
        <f>+IFERROR(VLOOKUP(A217,'TB Final'!$A$4:$J$497,8,),0)</f>
        <v>0</v>
      </c>
      <c r="G217" s="12">
        <f t="shared" si="9"/>
        <v>0</v>
      </c>
      <c r="H217" s="12">
        <f t="shared" si="10"/>
        <v>0</v>
      </c>
      <c r="I217" s="12">
        <f t="shared" si="11"/>
        <v>0</v>
      </c>
    </row>
    <row r="218" spans="1:9">
      <c r="A218" s="5" t="s">
        <v>588</v>
      </c>
      <c r="B218" s="1017">
        <v>106100</v>
      </c>
      <c r="C218" s="1016"/>
      <c r="E218" s="3">
        <f>+IFERROR(VLOOKUP(A218,'TB Final'!$A$4:$J$497,5,),0)</f>
        <v>106100</v>
      </c>
      <c r="F218" s="3">
        <f>+IFERROR(VLOOKUP(A218,'TB Final'!$A$4:$J$497,8,),0)</f>
        <v>0</v>
      </c>
      <c r="G218" s="12">
        <f t="shared" si="9"/>
        <v>0</v>
      </c>
      <c r="H218" s="12">
        <f t="shared" si="10"/>
        <v>0</v>
      </c>
      <c r="I218" s="12">
        <f t="shared" si="11"/>
        <v>0</v>
      </c>
    </row>
    <row r="219" spans="1:9">
      <c r="A219" s="5" t="s">
        <v>277</v>
      </c>
      <c r="B219" s="1017">
        <v>1123742.8799999999</v>
      </c>
      <c r="C219" s="1016"/>
      <c r="E219" s="3">
        <f>+IFERROR(VLOOKUP(A219,'TB Final'!$A$4:$J$497,5,),0)</f>
        <v>1123742.8799999999</v>
      </c>
      <c r="F219" s="3">
        <f>+IFERROR(VLOOKUP(A219,'TB Final'!$A$4:$J$497,8,),0)</f>
        <v>0</v>
      </c>
      <c r="G219" s="12">
        <f t="shared" si="9"/>
        <v>0</v>
      </c>
      <c r="H219" s="12">
        <f t="shared" si="10"/>
        <v>0</v>
      </c>
      <c r="I219" s="12">
        <f t="shared" si="11"/>
        <v>0</v>
      </c>
    </row>
    <row r="220" spans="1:9">
      <c r="A220" s="5" t="s">
        <v>589</v>
      </c>
      <c r="B220" s="1017">
        <v>85992.9</v>
      </c>
      <c r="C220" s="1016"/>
      <c r="E220" s="3">
        <f>+IFERROR(VLOOKUP(A220,'TB Final'!$A$4:$J$497,5,),0)</f>
        <v>85992.9</v>
      </c>
      <c r="F220" s="3">
        <f>+IFERROR(VLOOKUP(A220,'TB Final'!$A$4:$J$497,8,),0)</f>
        <v>0</v>
      </c>
      <c r="G220" s="12">
        <f t="shared" si="9"/>
        <v>0</v>
      </c>
      <c r="H220" s="12">
        <f t="shared" si="10"/>
        <v>0</v>
      </c>
      <c r="I220" s="12">
        <f t="shared" si="11"/>
        <v>0</v>
      </c>
    </row>
    <row r="221" spans="1:9">
      <c r="A221" s="5" t="s">
        <v>590</v>
      </c>
      <c r="B221" s="1017">
        <v>610000</v>
      </c>
      <c r="C221" s="1016"/>
      <c r="E221" s="3">
        <f>+IFERROR(VLOOKUP(A221,'TB Final'!$A$4:$J$497,5,),0)</f>
        <v>610000</v>
      </c>
      <c r="F221" s="3">
        <f>+IFERROR(VLOOKUP(A221,'TB Final'!$A$4:$J$497,8,),0)</f>
        <v>0</v>
      </c>
      <c r="G221" s="12">
        <f t="shared" si="9"/>
        <v>0</v>
      </c>
      <c r="H221" s="12">
        <f t="shared" si="10"/>
        <v>0</v>
      </c>
      <c r="I221" s="12">
        <f t="shared" si="11"/>
        <v>0</v>
      </c>
    </row>
    <row r="222" spans="1:9">
      <c r="A222" s="5" t="s">
        <v>591</v>
      </c>
      <c r="B222" s="1017">
        <v>50928</v>
      </c>
      <c r="C222" s="1016"/>
      <c r="E222" s="3">
        <f>+IFERROR(VLOOKUP(A222,'TB Final'!$A$4:$J$497,5,),0)</f>
        <v>50928</v>
      </c>
      <c r="F222" s="3">
        <f>+IFERROR(VLOOKUP(A222,'TB Final'!$A$4:$J$497,8,),0)</f>
        <v>0</v>
      </c>
      <c r="G222" s="12">
        <f t="shared" si="9"/>
        <v>0</v>
      </c>
      <c r="H222" s="12">
        <f t="shared" si="10"/>
        <v>0</v>
      </c>
      <c r="I222" s="12">
        <f t="shared" si="11"/>
        <v>0</v>
      </c>
    </row>
    <row r="223" spans="1:9">
      <c r="A223" s="5" t="s">
        <v>592</v>
      </c>
      <c r="B223" s="1016"/>
      <c r="C223" s="1017">
        <v>4760124</v>
      </c>
      <c r="E223" s="3">
        <f>+IFERROR(VLOOKUP(A223,'TB Final'!$A$4:$J$497,5,),0)</f>
        <v>0</v>
      </c>
      <c r="F223" s="3">
        <f>+IFERROR(VLOOKUP(A223,'TB Final'!$A$4:$J$497,8,),0)</f>
        <v>4760124</v>
      </c>
      <c r="G223" s="12">
        <f t="shared" si="9"/>
        <v>0</v>
      </c>
      <c r="H223" s="12">
        <f t="shared" si="10"/>
        <v>0</v>
      </c>
      <c r="I223" s="12">
        <f t="shared" si="11"/>
        <v>0</v>
      </c>
    </row>
    <row r="224" spans="1:9">
      <c r="A224" s="5" t="s">
        <v>2385</v>
      </c>
      <c r="B224" s="1017">
        <v>2380</v>
      </c>
      <c r="C224" s="1016"/>
      <c r="E224" s="3">
        <f>+IFERROR(VLOOKUP(A224,'TB Final'!$A$4:$J$497,5,),0)</f>
        <v>2380</v>
      </c>
      <c r="F224" s="3">
        <f>+IFERROR(VLOOKUP(A224,'TB Final'!$A$4:$J$497,8,),0)</f>
        <v>0</v>
      </c>
      <c r="G224" s="12">
        <f t="shared" si="9"/>
        <v>0</v>
      </c>
      <c r="H224" s="12">
        <f t="shared" si="10"/>
        <v>0</v>
      </c>
      <c r="I224" s="12">
        <f t="shared" si="11"/>
        <v>0</v>
      </c>
    </row>
    <row r="225" spans="1:9">
      <c r="A225" s="5" t="s">
        <v>284</v>
      </c>
      <c r="B225" s="1017">
        <v>311747</v>
      </c>
      <c r="C225" s="1016"/>
      <c r="E225" s="3">
        <f>+IFERROR(VLOOKUP(A225,'TB Final'!$A$4:$J$497,5,),0)</f>
        <v>311747</v>
      </c>
      <c r="F225" s="3">
        <f>+IFERROR(VLOOKUP(A225,'TB Final'!$A$4:$J$497,8,),0)</f>
        <v>0</v>
      </c>
      <c r="G225" s="12">
        <f t="shared" si="9"/>
        <v>0</v>
      </c>
      <c r="H225" s="12">
        <f t="shared" si="10"/>
        <v>0</v>
      </c>
      <c r="I225" s="12">
        <f t="shared" si="11"/>
        <v>0</v>
      </c>
    </row>
    <row r="226" spans="1:9">
      <c r="A226" s="5" t="s">
        <v>456</v>
      </c>
      <c r="B226" s="1016"/>
      <c r="C226" s="1017">
        <v>313013</v>
      </c>
      <c r="E226" s="3">
        <f>+IFERROR(VLOOKUP(A226,'TB Final'!$A$4:$J$497,5,),0)</f>
        <v>0</v>
      </c>
      <c r="F226" s="3">
        <f>+IFERROR(VLOOKUP(A226,'TB Final'!$A$4:$J$497,8,),0)</f>
        <v>313013</v>
      </c>
      <c r="G226" s="12">
        <f t="shared" si="9"/>
        <v>0</v>
      </c>
      <c r="H226" s="12">
        <f t="shared" si="10"/>
        <v>0</v>
      </c>
      <c r="I226" s="12">
        <f t="shared" si="11"/>
        <v>0</v>
      </c>
    </row>
    <row r="227" spans="1:9">
      <c r="A227" s="5" t="s">
        <v>285</v>
      </c>
      <c r="B227" s="1017">
        <v>28831</v>
      </c>
      <c r="C227" s="1016"/>
      <c r="E227" s="3">
        <f>+IFERROR(VLOOKUP(A227,'TB Final'!$A$4:$J$497,5,),0)</f>
        <v>28831</v>
      </c>
      <c r="F227" s="3">
        <f>+IFERROR(VLOOKUP(A227,'TB Final'!$A$4:$J$497,8,),0)</f>
        <v>0</v>
      </c>
      <c r="G227" s="12">
        <f t="shared" si="9"/>
        <v>0</v>
      </c>
      <c r="H227" s="12">
        <f t="shared" si="10"/>
        <v>0</v>
      </c>
      <c r="I227" s="12">
        <f t="shared" si="11"/>
        <v>0</v>
      </c>
    </row>
    <row r="228" spans="1:9">
      <c r="A228" s="5" t="s">
        <v>286</v>
      </c>
      <c r="B228" s="1017">
        <v>1200</v>
      </c>
      <c r="C228" s="1016"/>
      <c r="E228" s="3">
        <f>+IFERROR(VLOOKUP(A228,'TB Final'!$A$4:$J$497,5,),0)</f>
        <v>1200</v>
      </c>
      <c r="F228" s="3">
        <f>+IFERROR(VLOOKUP(A228,'TB Final'!$A$4:$J$497,8,),0)</f>
        <v>0</v>
      </c>
      <c r="G228" s="12">
        <f t="shared" si="9"/>
        <v>0</v>
      </c>
      <c r="H228" s="12">
        <f t="shared" si="10"/>
        <v>0</v>
      </c>
      <c r="I228" s="12">
        <f t="shared" si="11"/>
        <v>0</v>
      </c>
    </row>
    <row r="229" spans="1:9">
      <c r="A229" s="5" t="s">
        <v>287</v>
      </c>
      <c r="B229" s="1017">
        <v>2569100</v>
      </c>
      <c r="C229" s="1016"/>
      <c r="E229" s="3">
        <f>+IFERROR(VLOOKUP(A229,'TB Final'!$A$4:$J$497,5,),0)</f>
        <v>2569100</v>
      </c>
      <c r="F229" s="3">
        <f>+IFERROR(VLOOKUP(A229,'TB Final'!$A$4:$J$497,8,),0)</f>
        <v>0</v>
      </c>
      <c r="G229" s="12">
        <f t="shared" si="9"/>
        <v>0</v>
      </c>
      <c r="H229" s="12">
        <f t="shared" si="10"/>
        <v>0</v>
      </c>
      <c r="I229" s="12">
        <f t="shared" si="11"/>
        <v>0</v>
      </c>
    </row>
    <row r="230" spans="1:9">
      <c r="A230" s="5" t="s">
        <v>289</v>
      </c>
      <c r="B230" s="1017">
        <v>13970</v>
      </c>
      <c r="C230" s="1016"/>
      <c r="E230" s="3">
        <f>+IFERROR(VLOOKUP(A230,'TB Final'!$A$4:$J$497,5,),0)</f>
        <v>13970</v>
      </c>
      <c r="F230" s="3">
        <f>+IFERROR(VLOOKUP(A230,'TB Final'!$A$4:$J$497,8,),0)</f>
        <v>0</v>
      </c>
      <c r="G230" s="12">
        <f t="shared" si="9"/>
        <v>0</v>
      </c>
      <c r="H230" s="12">
        <f t="shared" si="10"/>
        <v>0</v>
      </c>
      <c r="I230" s="12">
        <f t="shared" si="11"/>
        <v>0</v>
      </c>
    </row>
    <row r="231" spans="1:9">
      <c r="A231" s="5" t="s">
        <v>312</v>
      </c>
      <c r="B231" s="1016"/>
      <c r="C231" s="1017">
        <v>453421</v>
      </c>
      <c r="E231" s="3">
        <f>+IFERROR(VLOOKUP(A231,'TB Final'!$A$4:$J$497,5,),0)</f>
        <v>0</v>
      </c>
      <c r="F231" s="3">
        <f>+IFERROR(VLOOKUP(A231,'TB Final'!$A$4:$J$497,8,),0)</f>
        <v>453421</v>
      </c>
      <c r="G231" s="12">
        <f t="shared" si="9"/>
        <v>0</v>
      </c>
      <c r="H231" s="12">
        <f t="shared" si="10"/>
        <v>0</v>
      </c>
      <c r="I231" s="12">
        <f t="shared" si="11"/>
        <v>0</v>
      </c>
    </row>
    <row r="232" spans="1:9">
      <c r="A232" s="5" t="s">
        <v>291</v>
      </c>
      <c r="B232" s="1017">
        <v>216806</v>
      </c>
      <c r="C232" s="1016"/>
      <c r="E232" s="3">
        <f>+IFERROR(VLOOKUP(A232,'TB Final'!$A$4:$J$497,5,),0)</f>
        <v>216806</v>
      </c>
      <c r="F232" s="3">
        <f>+IFERROR(VLOOKUP(A232,'TB Final'!$A$4:$J$497,8,),0)</f>
        <v>0</v>
      </c>
      <c r="G232" s="12">
        <f t="shared" si="9"/>
        <v>0</v>
      </c>
      <c r="H232" s="12">
        <f t="shared" si="10"/>
        <v>0</v>
      </c>
      <c r="I232" s="12">
        <f t="shared" si="11"/>
        <v>0</v>
      </c>
    </row>
    <row r="233" spans="1:9">
      <c r="A233" s="5" t="s">
        <v>292</v>
      </c>
      <c r="B233" s="1016"/>
      <c r="C233" s="1017">
        <v>505220</v>
      </c>
      <c r="E233" s="3">
        <f>+IFERROR(VLOOKUP(A233,'TB Final'!$A$4:$J$497,5,),0)</f>
        <v>0</v>
      </c>
      <c r="F233" s="3">
        <f>+IFERROR(VLOOKUP(A233,'TB Final'!$A$4:$J$497,8,),0)</f>
        <v>505220</v>
      </c>
      <c r="G233" s="12">
        <f t="shared" si="9"/>
        <v>0</v>
      </c>
      <c r="H233" s="12">
        <f t="shared" si="10"/>
        <v>0</v>
      </c>
      <c r="I233" s="12">
        <f t="shared" si="11"/>
        <v>0</v>
      </c>
    </row>
    <row r="234" spans="1:9">
      <c r="A234" s="5" t="s">
        <v>288</v>
      </c>
      <c r="B234" s="1017">
        <v>10675054.880000001</v>
      </c>
      <c r="C234" s="1016"/>
      <c r="E234" s="3">
        <f>+IFERROR(VLOOKUP(A234,'TB Final'!$A$4:$J$497,5,),0)</f>
        <v>10675054.880000001</v>
      </c>
      <c r="F234" s="3">
        <f>+IFERROR(VLOOKUP(A234,'TB Final'!$A$4:$J$497,8,),0)</f>
        <v>0</v>
      </c>
      <c r="G234" s="12">
        <f t="shared" si="9"/>
        <v>0</v>
      </c>
      <c r="H234" s="12">
        <f t="shared" si="10"/>
        <v>0</v>
      </c>
      <c r="I234" s="12">
        <f t="shared" si="11"/>
        <v>0</v>
      </c>
    </row>
    <row r="235" spans="1:9">
      <c r="A235" s="5" t="s">
        <v>294</v>
      </c>
      <c r="B235" s="1016"/>
      <c r="C235" s="1017">
        <v>56976</v>
      </c>
      <c r="E235" s="3">
        <f>+IFERROR(VLOOKUP(A235,'TB Final'!$A$4:$J$497,5,),0)</f>
        <v>0</v>
      </c>
      <c r="F235" s="3">
        <f>+IFERROR(VLOOKUP(A235,'TB Final'!$A$4:$J$497,8,),0)</f>
        <v>56976</v>
      </c>
      <c r="G235" s="12">
        <f t="shared" si="9"/>
        <v>0</v>
      </c>
      <c r="H235" s="12">
        <f t="shared" si="10"/>
        <v>0</v>
      </c>
      <c r="I235" s="12">
        <f t="shared" si="11"/>
        <v>0</v>
      </c>
    </row>
    <row r="236" spans="1:9">
      <c r="A236" s="5" t="s">
        <v>593</v>
      </c>
      <c r="B236" s="1016"/>
      <c r="C236" s="1017">
        <v>84960</v>
      </c>
      <c r="E236" s="3">
        <f>+IFERROR(VLOOKUP(A236,'TB Final'!$A$4:$J$497,5,),0)</f>
        <v>0</v>
      </c>
      <c r="F236" s="3">
        <f>+IFERROR(VLOOKUP(A236,'TB Final'!$A$4:$J$497,8,),0)</f>
        <v>84960</v>
      </c>
      <c r="G236" s="12">
        <f t="shared" si="9"/>
        <v>0</v>
      </c>
      <c r="H236" s="12">
        <f t="shared" si="10"/>
        <v>0</v>
      </c>
      <c r="I236" s="12">
        <f t="shared" si="11"/>
        <v>0</v>
      </c>
    </row>
    <row r="237" spans="1:9">
      <c r="A237" s="5" t="s">
        <v>295</v>
      </c>
      <c r="B237" s="1016"/>
      <c r="C237" s="1017">
        <v>356852</v>
      </c>
      <c r="E237" s="3">
        <f>+IFERROR(VLOOKUP(A237,'TB Final'!$A$4:$J$497,5,),0)</f>
        <v>0</v>
      </c>
      <c r="F237" s="3">
        <f>+IFERROR(VLOOKUP(A237,'TB Final'!$A$4:$J$497,8,),0)</f>
        <v>356852</v>
      </c>
      <c r="G237" s="12">
        <f t="shared" si="9"/>
        <v>0</v>
      </c>
      <c r="H237" s="12">
        <f t="shared" si="10"/>
        <v>0</v>
      </c>
      <c r="I237" s="12">
        <f t="shared" si="11"/>
        <v>0</v>
      </c>
    </row>
    <row r="238" spans="1:9">
      <c r="A238" s="5" t="s">
        <v>594</v>
      </c>
      <c r="B238" s="1016"/>
      <c r="C238" s="1017">
        <v>21000</v>
      </c>
      <c r="E238" s="3">
        <f>+IFERROR(VLOOKUP(A238,'TB Final'!$A$4:$J$497,5,),0)</f>
        <v>0</v>
      </c>
      <c r="F238" s="3">
        <f>+IFERROR(VLOOKUP(A238,'TB Final'!$A$4:$J$497,8,),0)</f>
        <v>21000</v>
      </c>
      <c r="G238" s="12">
        <f t="shared" si="9"/>
        <v>0</v>
      </c>
      <c r="H238" s="12">
        <f t="shared" si="10"/>
        <v>0</v>
      </c>
      <c r="I238" s="12">
        <f t="shared" si="11"/>
        <v>0</v>
      </c>
    </row>
    <row r="239" spans="1:9">
      <c r="A239" s="5" t="s">
        <v>595</v>
      </c>
      <c r="B239" s="1016"/>
      <c r="C239" s="1017">
        <v>465751</v>
      </c>
      <c r="E239" s="3">
        <f>+IFERROR(VLOOKUP(A239,'TB Final'!$A$4:$J$497,5,),0)</f>
        <v>0</v>
      </c>
      <c r="F239" s="3">
        <f>+IFERROR(VLOOKUP(A239,'TB Final'!$A$4:$J$497,8,),0)</f>
        <v>465751</v>
      </c>
      <c r="G239" s="12">
        <f t="shared" si="9"/>
        <v>0</v>
      </c>
      <c r="H239" s="12">
        <f t="shared" si="10"/>
        <v>0</v>
      </c>
      <c r="I239" s="12">
        <f t="shared" si="11"/>
        <v>0</v>
      </c>
    </row>
    <row r="240" spans="1:9">
      <c r="A240" s="5" t="s">
        <v>297</v>
      </c>
      <c r="B240" s="1016"/>
      <c r="C240" s="1017">
        <v>509568</v>
      </c>
      <c r="E240" s="3">
        <f>+IFERROR(VLOOKUP(A240,'TB Final'!$A$4:$J$497,5,),0)</f>
        <v>0</v>
      </c>
      <c r="F240" s="3">
        <f>+IFERROR(VLOOKUP(A240,'TB Final'!$A$4:$J$497,8,),0)</f>
        <v>509568</v>
      </c>
      <c r="G240" s="12">
        <f t="shared" si="9"/>
        <v>0</v>
      </c>
      <c r="H240" s="12">
        <f t="shared" si="10"/>
        <v>0</v>
      </c>
      <c r="I240" s="12">
        <f t="shared" si="11"/>
        <v>0</v>
      </c>
    </row>
    <row r="241" spans="1:9">
      <c r="A241" s="5" t="s">
        <v>298</v>
      </c>
      <c r="B241" s="1017">
        <v>225</v>
      </c>
      <c r="C241" s="1016"/>
      <c r="E241" s="3">
        <f>+IFERROR(VLOOKUP(A241,'TB Final'!$A$4:$J$497,5,),0)</f>
        <v>225</v>
      </c>
      <c r="F241" s="3">
        <f>+IFERROR(VLOOKUP(A241,'TB Final'!$A$4:$J$497,8,),0)</f>
        <v>0</v>
      </c>
      <c r="G241" s="12">
        <f t="shared" si="9"/>
        <v>0</v>
      </c>
      <c r="H241" s="12">
        <f t="shared" si="10"/>
        <v>0</v>
      </c>
      <c r="I241" s="12">
        <f t="shared" si="11"/>
        <v>0</v>
      </c>
    </row>
    <row r="242" spans="1:9">
      <c r="A242" s="5" t="s">
        <v>299</v>
      </c>
      <c r="B242" s="1017">
        <v>226000</v>
      </c>
      <c r="C242" s="1016"/>
      <c r="E242" s="3">
        <f>+IFERROR(VLOOKUP(A242,'TB Final'!$A$4:$J$497,5,),0)</f>
        <v>226000</v>
      </c>
      <c r="F242" s="3">
        <f>+IFERROR(VLOOKUP(A242,'TB Final'!$A$4:$J$497,8,),0)</f>
        <v>0</v>
      </c>
      <c r="G242" s="12">
        <f t="shared" si="9"/>
        <v>0</v>
      </c>
      <c r="H242" s="12">
        <f t="shared" si="10"/>
        <v>0</v>
      </c>
      <c r="I242" s="12">
        <f t="shared" si="11"/>
        <v>0</v>
      </c>
    </row>
    <row r="243" spans="1:9">
      <c r="A243" s="5" t="s">
        <v>300</v>
      </c>
      <c r="B243" s="1017">
        <v>225</v>
      </c>
      <c r="C243" s="1016"/>
      <c r="E243" s="3">
        <f>+IFERROR(VLOOKUP(A243,'TB Final'!$A$4:$J$497,5,),0)</f>
        <v>225</v>
      </c>
      <c r="F243" s="3">
        <f>+IFERROR(VLOOKUP(A243,'TB Final'!$A$4:$J$497,8,),0)</f>
        <v>0</v>
      </c>
      <c r="G243" s="12">
        <f t="shared" si="9"/>
        <v>0</v>
      </c>
      <c r="H243" s="12">
        <f t="shared" si="10"/>
        <v>0</v>
      </c>
      <c r="I243" s="12">
        <f t="shared" si="11"/>
        <v>0</v>
      </c>
    </row>
    <row r="244" spans="1:9">
      <c r="A244" s="5" t="s">
        <v>2387</v>
      </c>
      <c r="B244" s="1017">
        <v>2956</v>
      </c>
      <c r="C244" s="1016"/>
      <c r="E244" s="3">
        <f>+IFERROR(VLOOKUP(A244,'TB Final'!$A$4:$J$497,5,),0)</f>
        <v>2956</v>
      </c>
      <c r="F244" s="3">
        <f>+IFERROR(VLOOKUP(A244,'TB Final'!$A$4:$J$497,8,),0)</f>
        <v>0</v>
      </c>
      <c r="G244" s="12">
        <f t="shared" si="9"/>
        <v>0</v>
      </c>
      <c r="H244" s="12">
        <f t="shared" si="10"/>
        <v>0</v>
      </c>
      <c r="I244" s="12">
        <f t="shared" si="11"/>
        <v>0</v>
      </c>
    </row>
    <row r="245" spans="1:9">
      <c r="A245" s="5" t="s">
        <v>302</v>
      </c>
      <c r="B245" s="1017">
        <v>222167592.13999999</v>
      </c>
      <c r="C245" s="1016"/>
      <c r="E245" s="3">
        <f>+IFERROR(VLOOKUP(A245,'TB Final'!$A$4:$J$497,5,),0)</f>
        <v>222167592.13999999</v>
      </c>
      <c r="F245" s="3">
        <f>+IFERROR(VLOOKUP(A245,'TB Final'!$A$4:$J$497,8,),0)</f>
        <v>0</v>
      </c>
      <c r="G245" s="12">
        <f t="shared" si="9"/>
        <v>0</v>
      </c>
      <c r="H245" s="12">
        <f t="shared" si="10"/>
        <v>0</v>
      </c>
      <c r="I245" s="12">
        <f t="shared" si="11"/>
        <v>0</v>
      </c>
    </row>
    <row r="246" spans="1:9">
      <c r="A246" s="5" t="s">
        <v>596</v>
      </c>
      <c r="B246" s="1016"/>
      <c r="C246" s="1017">
        <v>374208</v>
      </c>
      <c r="E246" s="3">
        <f>+IFERROR(VLOOKUP(A246,'TB Final'!$A$4:$J$497,5,),0)</f>
        <v>0</v>
      </c>
      <c r="F246" s="3">
        <f>+IFERROR(VLOOKUP(A246,'TB Final'!$A$4:$J$497,8,),0)</f>
        <v>374208</v>
      </c>
      <c r="G246" s="12">
        <f t="shared" si="9"/>
        <v>0</v>
      </c>
      <c r="H246" s="12">
        <f t="shared" si="10"/>
        <v>0</v>
      </c>
      <c r="I246" s="12">
        <f t="shared" si="11"/>
        <v>0</v>
      </c>
    </row>
    <row r="247" spans="1:9">
      <c r="A247" s="5" t="s">
        <v>597</v>
      </c>
      <c r="B247" s="1017">
        <v>84492</v>
      </c>
      <c r="C247" s="1016"/>
      <c r="E247" s="3">
        <f>+IFERROR(VLOOKUP(A247,'TB Final'!$A$4:$J$497,5,),0)</f>
        <v>84492</v>
      </c>
      <c r="F247" s="3">
        <f>+IFERROR(VLOOKUP(A247,'TB Final'!$A$4:$J$497,8,),0)</f>
        <v>0</v>
      </c>
      <c r="G247" s="12">
        <f t="shared" si="9"/>
        <v>0</v>
      </c>
      <c r="H247" s="12">
        <f t="shared" si="10"/>
        <v>0</v>
      </c>
      <c r="I247" s="12">
        <f t="shared" si="11"/>
        <v>0</v>
      </c>
    </row>
    <row r="248" spans="1:9">
      <c r="A248" s="5" t="s">
        <v>304</v>
      </c>
      <c r="B248" s="1016"/>
      <c r="C248" s="1017">
        <v>7145017</v>
      </c>
      <c r="E248" s="3">
        <f>+IFERROR(VLOOKUP(A248,'TB Final'!$A$4:$J$497,5,),0)</f>
        <v>0</v>
      </c>
      <c r="F248" s="3">
        <f>+IFERROR(VLOOKUP(A248,'TB Final'!$A$4:$J$497,8,),0)</f>
        <v>7145017</v>
      </c>
      <c r="G248" s="12">
        <f t="shared" si="9"/>
        <v>0</v>
      </c>
      <c r="H248" s="12">
        <f t="shared" si="10"/>
        <v>0</v>
      </c>
      <c r="I248" s="12">
        <f t="shared" si="11"/>
        <v>0</v>
      </c>
    </row>
    <row r="249" spans="1:9">
      <c r="A249" s="5" t="s">
        <v>305</v>
      </c>
      <c r="B249" s="1017">
        <v>2898184</v>
      </c>
      <c r="C249" s="1016"/>
      <c r="E249" s="3">
        <f>+IFERROR(VLOOKUP(A249,'TB Final'!$A$4:$J$497,5,),0)</f>
        <v>2898184</v>
      </c>
      <c r="F249" s="3">
        <f>+IFERROR(VLOOKUP(A249,'TB Final'!$A$4:$J$497,8,),0)</f>
        <v>0</v>
      </c>
      <c r="G249" s="12">
        <f t="shared" si="9"/>
        <v>0</v>
      </c>
      <c r="H249" s="12">
        <f t="shared" si="10"/>
        <v>0</v>
      </c>
      <c r="I249" s="12">
        <f t="shared" si="11"/>
        <v>0</v>
      </c>
    </row>
    <row r="250" spans="1:9">
      <c r="A250" s="5" t="s">
        <v>460</v>
      </c>
      <c r="B250" s="1017">
        <v>1374004</v>
      </c>
      <c r="C250" s="1016"/>
      <c r="E250" s="3">
        <f>+IFERROR(VLOOKUP(A250,'TB Final'!$A$4:$J$497,5,),0)</f>
        <v>1374004</v>
      </c>
      <c r="F250" s="3">
        <f>+IFERROR(VLOOKUP(A250,'TB Final'!$A$4:$J$497,8,),0)</f>
        <v>0</v>
      </c>
      <c r="G250" s="12">
        <f t="shared" si="9"/>
        <v>0</v>
      </c>
      <c r="H250" s="12">
        <f t="shared" si="10"/>
        <v>0</v>
      </c>
      <c r="I250" s="12">
        <f t="shared" si="11"/>
        <v>0</v>
      </c>
    </row>
    <row r="251" spans="1:9">
      <c r="A251" s="5" t="s">
        <v>462</v>
      </c>
      <c r="B251" s="1017">
        <v>198800</v>
      </c>
      <c r="C251" s="1016"/>
      <c r="E251" s="3">
        <f>+IFERROR(VLOOKUP(A251,'TB Final'!$A$4:$J$497,5,),0)</f>
        <v>198800</v>
      </c>
      <c r="F251" s="3">
        <f>+IFERROR(VLOOKUP(A251,'TB Final'!$A$4:$J$497,8,),0)</f>
        <v>0</v>
      </c>
      <c r="G251" s="12">
        <f t="shared" si="9"/>
        <v>0</v>
      </c>
      <c r="H251" s="12">
        <f t="shared" si="10"/>
        <v>0</v>
      </c>
      <c r="I251" s="12">
        <f t="shared" si="11"/>
        <v>0</v>
      </c>
    </row>
    <row r="252" spans="1:9">
      <c r="A252" s="5" t="s">
        <v>463</v>
      </c>
      <c r="B252" s="1017">
        <v>9930454</v>
      </c>
      <c r="C252" s="1016"/>
      <c r="E252" s="3">
        <f>+IFERROR(VLOOKUP(A252,'TB Final'!$A$4:$J$497,5,),0)</f>
        <v>9930454</v>
      </c>
      <c r="F252" s="3">
        <f>+IFERROR(VLOOKUP(A252,'TB Final'!$A$4:$J$497,8,),0)</f>
        <v>0</v>
      </c>
      <c r="G252" s="12">
        <f t="shared" si="9"/>
        <v>0</v>
      </c>
      <c r="H252" s="12">
        <f t="shared" si="10"/>
        <v>0</v>
      </c>
      <c r="I252" s="12">
        <f t="shared" si="11"/>
        <v>0</v>
      </c>
    </row>
    <row r="253" spans="1:9">
      <c r="A253" s="5" t="s">
        <v>464</v>
      </c>
      <c r="B253" s="1017">
        <v>491595</v>
      </c>
      <c r="C253" s="1016"/>
      <c r="E253" s="3">
        <f>+IFERROR(VLOOKUP(A253,'TB Final'!$A$4:$J$497,5,),0)</f>
        <v>491595</v>
      </c>
      <c r="F253" s="3">
        <f>+IFERROR(VLOOKUP(A253,'TB Final'!$A$4:$J$497,8,),0)</f>
        <v>0</v>
      </c>
      <c r="G253" s="12">
        <f t="shared" si="9"/>
        <v>0</v>
      </c>
      <c r="H253" s="12">
        <f t="shared" si="10"/>
        <v>0</v>
      </c>
      <c r="I253" s="12">
        <f t="shared" si="11"/>
        <v>0</v>
      </c>
    </row>
    <row r="254" spans="1:9">
      <c r="A254" s="5" t="s">
        <v>306</v>
      </c>
      <c r="B254" s="1017">
        <v>758892</v>
      </c>
      <c r="C254" s="1016"/>
      <c r="E254" s="3">
        <f>+IFERROR(VLOOKUP(A254,'TB Final'!$A$4:$J$497,5,),0)</f>
        <v>758892</v>
      </c>
      <c r="F254" s="3">
        <f>+IFERROR(VLOOKUP(A254,'TB Final'!$A$4:$J$497,8,),0)</f>
        <v>0</v>
      </c>
      <c r="G254" s="12">
        <f t="shared" si="9"/>
        <v>0</v>
      </c>
      <c r="H254" s="12">
        <f t="shared" si="10"/>
        <v>0</v>
      </c>
      <c r="I254" s="12">
        <f t="shared" si="11"/>
        <v>0</v>
      </c>
    </row>
    <row r="255" spans="1:9">
      <c r="A255" s="5" t="s">
        <v>308</v>
      </c>
      <c r="B255" s="1017">
        <v>671000</v>
      </c>
      <c r="C255" s="1016"/>
      <c r="E255" s="3">
        <f>+IFERROR(VLOOKUP(A255,'TB Final'!$A$4:$J$497,5,),0)</f>
        <v>671000</v>
      </c>
      <c r="F255" s="3">
        <f>+IFERROR(VLOOKUP(A255,'TB Final'!$A$4:$J$497,8,),0)</f>
        <v>0</v>
      </c>
      <c r="G255" s="12">
        <f t="shared" si="9"/>
        <v>0</v>
      </c>
      <c r="H255" s="12">
        <f t="shared" si="10"/>
        <v>0</v>
      </c>
      <c r="I255" s="12">
        <f t="shared" si="11"/>
        <v>0</v>
      </c>
    </row>
    <row r="256" spans="1:9">
      <c r="A256" s="5" t="s">
        <v>309</v>
      </c>
      <c r="B256" s="1017">
        <v>10000</v>
      </c>
      <c r="C256" s="1016"/>
      <c r="E256" s="3">
        <f>+IFERROR(VLOOKUP(A256,'TB Final'!$A$4:$J$497,5,),0)</f>
        <v>10000</v>
      </c>
      <c r="F256" s="3">
        <f>+IFERROR(VLOOKUP(A256,'TB Final'!$A$4:$J$497,8,),0)</f>
        <v>0</v>
      </c>
      <c r="G256" s="12">
        <f t="shared" si="9"/>
        <v>0</v>
      </c>
      <c r="H256" s="12">
        <f t="shared" si="10"/>
        <v>0</v>
      </c>
      <c r="I256" s="12">
        <f t="shared" si="11"/>
        <v>0</v>
      </c>
    </row>
    <row r="257" spans="1:9">
      <c r="A257" s="5" t="s">
        <v>598</v>
      </c>
      <c r="B257" s="1016"/>
      <c r="C257" s="1017">
        <v>2500</v>
      </c>
      <c r="E257" s="3">
        <f>+IFERROR(VLOOKUP(A257,'TB Final'!$A$4:$J$497,5,),0)</f>
        <v>0</v>
      </c>
      <c r="F257" s="3">
        <f>+IFERROR(VLOOKUP(A257,'TB Final'!$A$4:$J$497,8,),0)</f>
        <v>2500</v>
      </c>
      <c r="G257" s="12">
        <f t="shared" si="9"/>
        <v>0</v>
      </c>
      <c r="H257" s="12">
        <f t="shared" si="10"/>
        <v>0</v>
      </c>
      <c r="I257" s="12">
        <f t="shared" si="11"/>
        <v>0</v>
      </c>
    </row>
    <row r="258" spans="1:9">
      <c r="A258" s="5" t="s">
        <v>599</v>
      </c>
      <c r="B258" s="1016"/>
      <c r="C258" s="1017">
        <v>164517556.99000001</v>
      </c>
      <c r="E258" s="3">
        <f>+IFERROR(VLOOKUP(A258,'TB Final'!$A$4:$J$497,5,),0)</f>
        <v>0</v>
      </c>
      <c r="F258" s="3">
        <f>+IFERROR(VLOOKUP(A258,'TB Final'!$A$4:$J$497,8,),0)</f>
        <v>164517556.99000001</v>
      </c>
      <c r="G258" s="12">
        <f t="shared" si="9"/>
        <v>0</v>
      </c>
      <c r="H258" s="12">
        <f t="shared" si="10"/>
        <v>0</v>
      </c>
      <c r="I258" s="12">
        <f t="shared" si="11"/>
        <v>0</v>
      </c>
    </row>
    <row r="259" spans="1:9">
      <c r="A259" s="5" t="s">
        <v>313</v>
      </c>
      <c r="B259" s="1016"/>
      <c r="C259" s="1017">
        <v>9443500</v>
      </c>
      <c r="E259" s="3">
        <f>+IFERROR(VLOOKUP(A259,'TB Final'!$A$4:$J$497,5,),0)</f>
        <v>0</v>
      </c>
      <c r="F259" s="3">
        <f>+IFERROR(VLOOKUP(A259,'TB Final'!$A$4:$J$497,8,),0)</f>
        <v>9443500</v>
      </c>
      <c r="G259" s="12">
        <f t="shared" si="9"/>
        <v>0</v>
      </c>
      <c r="H259" s="12">
        <f t="shared" si="10"/>
        <v>0</v>
      </c>
      <c r="I259" s="12">
        <f t="shared" si="11"/>
        <v>0</v>
      </c>
    </row>
    <row r="260" spans="1:9">
      <c r="A260" s="5" t="s">
        <v>600</v>
      </c>
      <c r="B260" s="1017">
        <v>1309161</v>
      </c>
      <c r="C260" s="1016"/>
      <c r="E260" s="3">
        <f>+IFERROR(VLOOKUP(A260,'TB Final'!$A$4:$J$497,5,),0)</f>
        <v>1309161</v>
      </c>
      <c r="F260" s="3">
        <f>+IFERROR(VLOOKUP(A260,'TB Final'!$A$4:$J$497,8,),0)</f>
        <v>0</v>
      </c>
      <c r="G260" s="12">
        <f t="shared" si="9"/>
        <v>0</v>
      </c>
      <c r="H260" s="12">
        <f t="shared" si="10"/>
        <v>0</v>
      </c>
      <c r="I260" s="12">
        <f t="shared" si="11"/>
        <v>0</v>
      </c>
    </row>
    <row r="261" spans="1:9">
      <c r="A261" s="5" t="s">
        <v>316</v>
      </c>
      <c r="B261" s="1016"/>
      <c r="C261" s="1017">
        <v>5028548</v>
      </c>
      <c r="E261" s="3">
        <f>+IFERROR(VLOOKUP(A261,'TB Final'!$A$4:$J$497,5,),0)</f>
        <v>0</v>
      </c>
      <c r="F261" s="3">
        <f>+IFERROR(VLOOKUP(A261,'TB Final'!$A$4:$J$497,8,),0)</f>
        <v>5028548</v>
      </c>
      <c r="G261" s="12">
        <f t="shared" si="9"/>
        <v>0</v>
      </c>
      <c r="H261" s="12">
        <f t="shared" si="10"/>
        <v>0</v>
      </c>
      <c r="I261" s="12">
        <f t="shared" si="11"/>
        <v>0</v>
      </c>
    </row>
    <row r="262" spans="1:9">
      <c r="A262" s="5" t="s">
        <v>317</v>
      </c>
      <c r="B262" s="1016"/>
      <c r="C262" s="1017">
        <v>8886648</v>
      </c>
      <c r="E262" s="3">
        <f>+IFERROR(VLOOKUP(A262,'TB Final'!$A$4:$J$497,5,),0)</f>
        <v>0</v>
      </c>
      <c r="F262" s="3">
        <f>+IFERROR(VLOOKUP(A262,'TB Final'!$A$4:$J$497,8,),0)</f>
        <v>8886648</v>
      </c>
      <c r="G262" s="12">
        <f t="shared" si="9"/>
        <v>0</v>
      </c>
      <c r="H262" s="12">
        <f t="shared" si="10"/>
        <v>0</v>
      </c>
      <c r="I262" s="12">
        <f t="shared" si="11"/>
        <v>0</v>
      </c>
    </row>
    <row r="263" spans="1:9">
      <c r="A263" s="5" t="s">
        <v>601</v>
      </c>
      <c r="B263" s="1016"/>
      <c r="C263" s="1017">
        <v>771454</v>
      </c>
      <c r="E263" s="3">
        <f>+IFERROR(VLOOKUP(A263,'TB Final'!$A$4:$J$497,5,),0)</f>
        <v>0</v>
      </c>
      <c r="F263" s="3">
        <f>+IFERROR(VLOOKUP(A263,'TB Final'!$A$4:$J$497,8,),0)</f>
        <v>771454</v>
      </c>
      <c r="G263" s="12">
        <f t="shared" si="9"/>
        <v>0</v>
      </c>
      <c r="H263" s="12">
        <f t="shared" si="10"/>
        <v>0</v>
      </c>
      <c r="I263" s="12">
        <f t="shared" si="11"/>
        <v>0</v>
      </c>
    </row>
    <row r="264" spans="1:9">
      <c r="A264" s="5" t="s">
        <v>602</v>
      </c>
      <c r="B264" s="1016"/>
      <c r="C264" s="1017">
        <v>19886895</v>
      </c>
      <c r="E264" s="3">
        <f>+IFERROR(VLOOKUP(A264,'TB Final'!$A$4:$J$497,5,),0)</f>
        <v>0</v>
      </c>
      <c r="F264" s="3">
        <f>+IFERROR(VLOOKUP(A264,'TB Final'!$A$4:$J$497,8,),0)</f>
        <v>19886895</v>
      </c>
      <c r="G264" s="12">
        <f t="shared" si="9"/>
        <v>0</v>
      </c>
      <c r="H264" s="12">
        <f t="shared" si="10"/>
        <v>0</v>
      </c>
      <c r="I264" s="12">
        <f t="shared" si="11"/>
        <v>0</v>
      </c>
    </row>
    <row r="265" spans="1:9">
      <c r="A265" s="5" t="s">
        <v>321</v>
      </c>
      <c r="B265" s="1016"/>
      <c r="C265" s="1017">
        <v>379192</v>
      </c>
      <c r="E265" s="3">
        <f>+IFERROR(VLOOKUP(A265,'TB Final'!$A$4:$J$497,5,),0)</f>
        <v>0</v>
      </c>
      <c r="F265" s="3">
        <f>+IFERROR(VLOOKUP(A265,'TB Final'!$A$4:$J$497,8,),0)</f>
        <v>379192</v>
      </c>
      <c r="G265" s="12">
        <f t="shared" si="9"/>
        <v>0</v>
      </c>
      <c r="H265" s="12">
        <f t="shared" si="10"/>
        <v>0</v>
      </c>
      <c r="I265" s="12">
        <f t="shared" si="11"/>
        <v>0</v>
      </c>
    </row>
    <row r="266" spans="1:9">
      <c r="A266" s="5" t="s">
        <v>603</v>
      </c>
      <c r="B266" s="1016"/>
      <c r="C266" s="1017">
        <v>1114747</v>
      </c>
      <c r="E266" s="3">
        <f>+IFERROR(VLOOKUP(A266,'TB Final'!$A$4:$J$497,5,),0)</f>
        <v>0</v>
      </c>
      <c r="F266" s="3">
        <f>+IFERROR(VLOOKUP(A266,'TB Final'!$A$4:$J$497,8,),0)</f>
        <v>1114747</v>
      </c>
      <c r="G266" s="12">
        <f t="shared" si="9"/>
        <v>0</v>
      </c>
      <c r="H266" s="12">
        <f t="shared" si="10"/>
        <v>0</v>
      </c>
      <c r="I266" s="12">
        <f t="shared" si="11"/>
        <v>0</v>
      </c>
    </row>
    <row r="267" spans="1:9">
      <c r="A267" s="5" t="s">
        <v>604</v>
      </c>
      <c r="B267" s="1016"/>
      <c r="C267" s="1017">
        <v>817411</v>
      </c>
      <c r="E267" s="3">
        <f>+IFERROR(VLOOKUP(A267,'TB Final'!$A$4:$J$497,5,),0)</f>
        <v>0</v>
      </c>
      <c r="F267" s="3">
        <f>+IFERROR(VLOOKUP(A267,'TB Final'!$A$4:$J$497,8,),0)</f>
        <v>817411</v>
      </c>
      <c r="G267" s="12">
        <f t="shared" si="9"/>
        <v>0</v>
      </c>
      <c r="H267" s="12">
        <f t="shared" si="10"/>
        <v>0</v>
      </c>
      <c r="I267" s="12">
        <f t="shared" si="11"/>
        <v>0</v>
      </c>
    </row>
    <row r="268" spans="1:9">
      <c r="A268" s="5" t="s">
        <v>605</v>
      </c>
      <c r="B268" s="1016"/>
      <c r="C268" s="1017">
        <v>127155757</v>
      </c>
      <c r="E268" s="3">
        <f>+IFERROR(VLOOKUP(A268,'TB Final'!$A$4:$J$497,5,),0)</f>
        <v>0</v>
      </c>
      <c r="F268" s="3">
        <f>+IFERROR(VLOOKUP(A268,'TB Final'!$A$4:$J$497,8,),0)</f>
        <v>127155757</v>
      </c>
      <c r="G268" s="12">
        <f t="shared" si="9"/>
        <v>0</v>
      </c>
      <c r="H268" s="12">
        <f t="shared" si="10"/>
        <v>0</v>
      </c>
      <c r="I268" s="12">
        <f t="shared" si="11"/>
        <v>0</v>
      </c>
    </row>
    <row r="269" spans="1:9">
      <c r="A269" s="5" t="s">
        <v>606</v>
      </c>
      <c r="B269" s="1016"/>
      <c r="C269" s="1017">
        <v>1264103</v>
      </c>
      <c r="E269" s="3">
        <f>+IFERROR(VLOOKUP(A269,'TB Final'!$A$4:$J$497,5,),0)</f>
        <v>0</v>
      </c>
      <c r="F269" s="3">
        <f>+IFERROR(VLOOKUP(A269,'TB Final'!$A$4:$J$497,8,),0)</f>
        <v>1264103</v>
      </c>
      <c r="G269" s="12">
        <f t="shared" ref="G269:G332" si="12">+B269-E269</f>
        <v>0</v>
      </c>
      <c r="H269" s="12">
        <f t="shared" ref="H269:H332" si="13">+C269-F269</f>
        <v>0</v>
      </c>
      <c r="I269" s="12">
        <f t="shared" ref="I269:I332" si="14">+SUM(G269:H269)</f>
        <v>0</v>
      </c>
    </row>
    <row r="270" spans="1:9">
      <c r="A270" s="5" t="s">
        <v>329</v>
      </c>
      <c r="B270" s="1017">
        <v>122153</v>
      </c>
      <c r="C270" s="1016"/>
      <c r="E270" s="3">
        <f>+IFERROR(VLOOKUP(A270,'TB Final'!$A$4:$J$497,5,),0)</f>
        <v>122153</v>
      </c>
      <c r="F270" s="3">
        <f>+IFERROR(VLOOKUP(A270,'TB Final'!$A$4:$J$497,8,),0)</f>
        <v>0</v>
      </c>
      <c r="G270" s="12">
        <f t="shared" si="12"/>
        <v>0</v>
      </c>
      <c r="H270" s="12">
        <f t="shared" si="13"/>
        <v>0</v>
      </c>
      <c r="I270" s="12">
        <f t="shared" si="14"/>
        <v>0</v>
      </c>
    </row>
    <row r="271" spans="1:9">
      <c r="A271" s="5" t="s">
        <v>332</v>
      </c>
      <c r="B271" s="1017">
        <v>271788</v>
      </c>
      <c r="C271" s="1016"/>
      <c r="E271" s="3">
        <f>+IFERROR(VLOOKUP(A271,'TB Final'!$A$4:$J$497,5,),0)</f>
        <v>271788</v>
      </c>
      <c r="F271" s="3">
        <f>+IFERROR(VLOOKUP(A271,'TB Final'!$A$4:$J$497,8,),0)</f>
        <v>0</v>
      </c>
      <c r="G271" s="12">
        <f t="shared" si="12"/>
        <v>0</v>
      </c>
      <c r="H271" s="12">
        <f t="shared" si="13"/>
        <v>0</v>
      </c>
      <c r="I271" s="12">
        <f t="shared" si="14"/>
        <v>0</v>
      </c>
    </row>
    <row r="272" spans="1:9">
      <c r="A272" s="5" t="s">
        <v>331</v>
      </c>
      <c r="B272" s="1017">
        <v>139678</v>
      </c>
      <c r="C272" s="1016"/>
      <c r="E272" s="3">
        <f>+IFERROR(VLOOKUP(A272,'TB Final'!$A$4:$J$497,5,),0)</f>
        <v>139678</v>
      </c>
      <c r="F272" s="3">
        <f>+IFERROR(VLOOKUP(A272,'TB Final'!$A$4:$J$497,8,),0)</f>
        <v>0</v>
      </c>
      <c r="G272" s="12">
        <f t="shared" si="12"/>
        <v>0</v>
      </c>
      <c r="H272" s="12">
        <f t="shared" si="13"/>
        <v>0</v>
      </c>
      <c r="I272" s="12">
        <f t="shared" si="14"/>
        <v>0</v>
      </c>
    </row>
    <row r="273" spans="1:9">
      <c r="A273" s="5" t="s">
        <v>326</v>
      </c>
      <c r="B273" s="1017">
        <v>34285</v>
      </c>
      <c r="C273" s="1016"/>
      <c r="E273" s="3">
        <f>+IFERROR(VLOOKUP(A273,'TB Final'!$A$4:$J$497,5,),0)</f>
        <v>34285</v>
      </c>
      <c r="F273" s="3">
        <f>+IFERROR(VLOOKUP(A273,'TB Final'!$A$4:$J$497,8,),0)</f>
        <v>0</v>
      </c>
      <c r="G273" s="12">
        <f t="shared" si="12"/>
        <v>0</v>
      </c>
      <c r="H273" s="12">
        <f t="shared" si="13"/>
        <v>0</v>
      </c>
      <c r="I273" s="12">
        <f t="shared" si="14"/>
        <v>0</v>
      </c>
    </row>
    <row r="274" spans="1:9">
      <c r="A274" s="5" t="s">
        <v>607</v>
      </c>
      <c r="B274" s="1016"/>
      <c r="C274" s="1017">
        <v>3113797.7</v>
      </c>
      <c r="E274" s="3">
        <f>+IFERROR(VLOOKUP(A274,'TB Final'!$A$4:$J$497,5,),0)</f>
        <v>0</v>
      </c>
      <c r="F274" s="3">
        <f>+IFERROR(VLOOKUP(A274,'TB Final'!$A$4:$J$497,8,),0)</f>
        <v>3113797.7</v>
      </c>
      <c r="G274" s="12">
        <f t="shared" si="12"/>
        <v>0</v>
      </c>
      <c r="H274" s="12">
        <f t="shared" si="13"/>
        <v>0</v>
      </c>
      <c r="I274" s="12">
        <f t="shared" si="14"/>
        <v>0</v>
      </c>
    </row>
    <row r="275" spans="1:9">
      <c r="A275" s="5" t="s">
        <v>334</v>
      </c>
      <c r="B275" s="1017">
        <v>17722075</v>
      </c>
      <c r="C275" s="1016"/>
      <c r="E275" s="3">
        <f>+IFERROR(VLOOKUP(A275,'TB Final'!$A$4:$J$497,5,),0)</f>
        <v>17722075</v>
      </c>
      <c r="F275" s="3">
        <f>+IFERROR(VLOOKUP(A275,'TB Final'!$A$4:$J$497,8,),0)</f>
        <v>0</v>
      </c>
      <c r="G275" s="12">
        <f t="shared" si="12"/>
        <v>0</v>
      </c>
      <c r="H275" s="12">
        <f t="shared" si="13"/>
        <v>0</v>
      </c>
      <c r="I275" s="12">
        <f t="shared" si="14"/>
        <v>0</v>
      </c>
    </row>
    <row r="276" spans="1:9">
      <c r="A276" s="5" t="s">
        <v>608</v>
      </c>
      <c r="B276" s="1016"/>
      <c r="C276" s="1017">
        <v>251180</v>
      </c>
      <c r="E276" s="3">
        <f>+IFERROR(VLOOKUP(A276,'TB Final'!$A$4:$J$497,5,),0)</f>
        <v>0</v>
      </c>
      <c r="F276" s="3">
        <f>+IFERROR(VLOOKUP(A276,'TB Final'!$A$4:$J$497,8,),0)</f>
        <v>251180</v>
      </c>
      <c r="G276" s="12">
        <f t="shared" si="12"/>
        <v>0</v>
      </c>
      <c r="H276" s="12">
        <f t="shared" si="13"/>
        <v>0</v>
      </c>
      <c r="I276" s="12">
        <f t="shared" si="14"/>
        <v>0</v>
      </c>
    </row>
    <row r="277" spans="1:9">
      <c r="A277" s="5" t="s">
        <v>609</v>
      </c>
      <c r="B277" s="1017">
        <v>920985</v>
      </c>
      <c r="C277" s="1016"/>
      <c r="E277" s="3">
        <f>+IFERROR(VLOOKUP(A277,'TB Final'!$A$4:$J$497,5,),0)</f>
        <v>920985</v>
      </c>
      <c r="F277" s="3">
        <f>+IFERROR(VLOOKUP(A277,'TB Final'!$A$4:$J$497,8,),0)</f>
        <v>0</v>
      </c>
      <c r="G277" s="12">
        <f t="shared" si="12"/>
        <v>0</v>
      </c>
      <c r="H277" s="12">
        <f t="shared" si="13"/>
        <v>0</v>
      </c>
      <c r="I277" s="12">
        <f t="shared" si="14"/>
        <v>0</v>
      </c>
    </row>
    <row r="278" spans="1:9">
      <c r="A278" s="5" t="s">
        <v>336</v>
      </c>
      <c r="B278" s="1017">
        <v>293050</v>
      </c>
      <c r="C278" s="1016"/>
      <c r="E278" s="3">
        <f>+IFERROR(VLOOKUP(A278,'TB Final'!$A$4:$J$497,5,),0)</f>
        <v>293050</v>
      </c>
      <c r="F278" s="3">
        <f>+IFERROR(VLOOKUP(A278,'TB Final'!$A$4:$J$497,8,),0)</f>
        <v>0</v>
      </c>
      <c r="G278" s="12">
        <f t="shared" si="12"/>
        <v>0</v>
      </c>
      <c r="H278" s="12">
        <f t="shared" si="13"/>
        <v>0</v>
      </c>
      <c r="I278" s="12">
        <f t="shared" si="14"/>
        <v>0</v>
      </c>
    </row>
    <row r="279" spans="1:9">
      <c r="A279" s="5" t="s">
        <v>337</v>
      </c>
      <c r="B279" s="1017">
        <v>3360110.98</v>
      </c>
      <c r="C279" s="1016"/>
      <c r="E279" s="3">
        <f>+IFERROR(VLOOKUP(A279,'TB Final'!$A$4:$J$497,5,),0)</f>
        <v>3360110.98</v>
      </c>
      <c r="F279" s="3">
        <f>+IFERROR(VLOOKUP(A279,'TB Final'!$A$4:$J$497,8,),0)</f>
        <v>0</v>
      </c>
      <c r="G279" s="12">
        <f t="shared" si="12"/>
        <v>0</v>
      </c>
      <c r="H279" s="12">
        <f t="shared" si="13"/>
        <v>0</v>
      </c>
      <c r="I279" s="12">
        <f t="shared" si="14"/>
        <v>0</v>
      </c>
    </row>
    <row r="280" spans="1:9">
      <c r="A280" s="5" t="s">
        <v>338</v>
      </c>
      <c r="B280" s="1017">
        <v>300</v>
      </c>
      <c r="C280" s="1016"/>
      <c r="E280" s="3">
        <f>+IFERROR(VLOOKUP(A280,'TB Final'!$A$4:$J$497,5,),0)</f>
        <v>300</v>
      </c>
      <c r="F280" s="3">
        <f>+IFERROR(VLOOKUP(A280,'TB Final'!$A$4:$J$497,8,),0)</f>
        <v>0</v>
      </c>
      <c r="G280" s="12">
        <f t="shared" si="12"/>
        <v>0</v>
      </c>
      <c r="H280" s="12">
        <f t="shared" si="13"/>
        <v>0</v>
      </c>
      <c r="I280" s="12">
        <f t="shared" si="14"/>
        <v>0</v>
      </c>
    </row>
    <row r="281" spans="1:9">
      <c r="A281" s="5" t="s">
        <v>339</v>
      </c>
      <c r="B281" s="1017">
        <v>15197750</v>
      </c>
      <c r="C281" s="1016"/>
      <c r="E281" s="3">
        <f>+IFERROR(VLOOKUP(A281,'TB Final'!$A$4:$J$497,5,),0)</f>
        <v>15197750</v>
      </c>
      <c r="F281" s="3">
        <f>+IFERROR(VLOOKUP(A281,'TB Final'!$A$4:$J$497,8,),0)</f>
        <v>0</v>
      </c>
      <c r="G281" s="12">
        <f t="shared" si="12"/>
        <v>0</v>
      </c>
      <c r="H281" s="12">
        <f t="shared" si="13"/>
        <v>0</v>
      </c>
      <c r="I281" s="12">
        <f t="shared" si="14"/>
        <v>0</v>
      </c>
    </row>
    <row r="282" spans="1:9">
      <c r="A282" s="5" t="s">
        <v>465</v>
      </c>
      <c r="B282" s="1017">
        <v>52365641</v>
      </c>
      <c r="C282" s="1016"/>
      <c r="E282" s="3">
        <f>+IFERROR(VLOOKUP(A282,'TB Final'!$A$4:$J$497,5,),0)</f>
        <v>52365641</v>
      </c>
      <c r="F282" s="3">
        <f>+IFERROR(VLOOKUP(A282,'TB Final'!$A$4:$J$497,8,),0)</f>
        <v>0</v>
      </c>
      <c r="G282" s="12">
        <f t="shared" si="12"/>
        <v>0</v>
      </c>
      <c r="H282" s="12">
        <f t="shared" si="13"/>
        <v>0</v>
      </c>
      <c r="I282" s="12">
        <f t="shared" si="14"/>
        <v>0</v>
      </c>
    </row>
    <row r="283" spans="1:9">
      <c r="A283" s="5" t="s">
        <v>610</v>
      </c>
      <c r="B283" s="1017">
        <v>13738207.939999999</v>
      </c>
      <c r="C283" s="1016"/>
      <c r="E283" s="3">
        <f>+IFERROR(VLOOKUP(A283,'TB Final'!$A$4:$J$497,5,),0)</f>
        <v>13738207.939999999</v>
      </c>
      <c r="F283" s="3">
        <f>+IFERROR(VLOOKUP(A283,'TB Final'!$A$4:$J$497,8,),0)</f>
        <v>0</v>
      </c>
      <c r="G283" s="12">
        <f t="shared" si="12"/>
        <v>0</v>
      </c>
      <c r="H283" s="12">
        <f t="shared" si="13"/>
        <v>0</v>
      </c>
      <c r="I283" s="12">
        <f t="shared" si="14"/>
        <v>0</v>
      </c>
    </row>
    <row r="284" spans="1:9">
      <c r="A284" s="5" t="s">
        <v>345</v>
      </c>
      <c r="B284" s="1016"/>
      <c r="C284" s="1017">
        <v>1212197</v>
      </c>
      <c r="E284" s="3">
        <f>+IFERROR(VLOOKUP(A284,'TB Final'!$A$4:$J$497,5,),0)</f>
        <v>0</v>
      </c>
      <c r="F284" s="3">
        <f>+IFERROR(VLOOKUP(A284,'TB Final'!$A$4:$J$497,8,),0)</f>
        <v>1212197</v>
      </c>
      <c r="G284" s="12">
        <f t="shared" si="12"/>
        <v>0</v>
      </c>
      <c r="H284" s="12">
        <f t="shared" si="13"/>
        <v>0</v>
      </c>
      <c r="I284" s="12">
        <f t="shared" si="14"/>
        <v>0</v>
      </c>
    </row>
    <row r="285" spans="1:9">
      <c r="A285" s="5" t="s">
        <v>611</v>
      </c>
      <c r="B285" s="1016"/>
      <c r="C285" s="1017">
        <v>3418</v>
      </c>
      <c r="E285" s="3">
        <f>+IFERROR(VLOOKUP(A285,'TB Final'!$A$4:$J$497,5,),0)</f>
        <v>0</v>
      </c>
      <c r="F285" s="3">
        <f>+IFERROR(VLOOKUP(A285,'TB Final'!$A$4:$J$497,8,),0)</f>
        <v>3418</v>
      </c>
      <c r="G285" s="12">
        <f t="shared" si="12"/>
        <v>0</v>
      </c>
      <c r="H285" s="12">
        <f t="shared" si="13"/>
        <v>0</v>
      </c>
      <c r="I285" s="12">
        <f t="shared" si="14"/>
        <v>0</v>
      </c>
    </row>
    <row r="286" spans="1:9">
      <c r="A286" s="5" t="s">
        <v>612</v>
      </c>
      <c r="B286" s="1017">
        <v>7500</v>
      </c>
      <c r="C286" s="1016"/>
      <c r="E286" s="3">
        <f>+IFERROR(VLOOKUP(A286,'TB Final'!$A$4:$J$497,5,),0)</f>
        <v>7500</v>
      </c>
      <c r="F286" s="3">
        <f>+IFERROR(VLOOKUP(A286,'TB Final'!$A$4:$J$497,8,),0)</f>
        <v>0</v>
      </c>
      <c r="G286" s="12">
        <f t="shared" si="12"/>
        <v>0</v>
      </c>
      <c r="H286" s="12">
        <f t="shared" si="13"/>
        <v>0</v>
      </c>
      <c r="I286" s="12">
        <f t="shared" si="14"/>
        <v>0</v>
      </c>
    </row>
    <row r="287" spans="1:9">
      <c r="A287" s="5" t="s">
        <v>613</v>
      </c>
      <c r="B287" s="1016"/>
      <c r="C287" s="1017">
        <v>192958</v>
      </c>
      <c r="E287" s="3">
        <f>+IFERROR(VLOOKUP(A287,'TB Final'!$A$4:$J$497,5,),0)</f>
        <v>0</v>
      </c>
      <c r="F287" s="3">
        <f>+IFERROR(VLOOKUP(A287,'TB Final'!$A$4:$J$497,8,),0)</f>
        <v>192958</v>
      </c>
      <c r="G287" s="12">
        <f t="shared" si="12"/>
        <v>0</v>
      </c>
      <c r="H287" s="12">
        <f t="shared" si="13"/>
        <v>0</v>
      </c>
      <c r="I287" s="12">
        <f t="shared" si="14"/>
        <v>0</v>
      </c>
    </row>
    <row r="288" spans="1:9">
      <c r="A288" s="5" t="s">
        <v>614</v>
      </c>
      <c r="B288" s="1016"/>
      <c r="C288" s="1017">
        <v>1296380</v>
      </c>
      <c r="E288" s="3">
        <f>+IFERROR(VLOOKUP(A288,'TB Final'!$A$4:$J$497,5,),0)</f>
        <v>0</v>
      </c>
      <c r="F288" s="3">
        <f>+IFERROR(VLOOKUP(A288,'TB Final'!$A$4:$J$497,8,),0)</f>
        <v>1296380</v>
      </c>
      <c r="G288" s="12">
        <f t="shared" si="12"/>
        <v>0</v>
      </c>
      <c r="H288" s="12">
        <f t="shared" si="13"/>
        <v>0</v>
      </c>
      <c r="I288" s="12">
        <f t="shared" si="14"/>
        <v>0</v>
      </c>
    </row>
    <row r="289" spans="1:9">
      <c r="A289" s="5" t="s">
        <v>87</v>
      </c>
      <c r="B289" s="1017">
        <v>248701</v>
      </c>
      <c r="C289" s="1016"/>
      <c r="E289" s="3">
        <f>+IFERROR(VLOOKUP(A289,'TB Final'!$A$4:$J$497,5,),0)</f>
        <v>248701</v>
      </c>
      <c r="F289" s="3">
        <f>+IFERROR(VLOOKUP(A289,'TB Final'!$A$4:$J$497,8,),0)</f>
        <v>0</v>
      </c>
      <c r="G289" s="12">
        <f t="shared" si="12"/>
        <v>0</v>
      </c>
      <c r="H289" s="12">
        <f t="shared" si="13"/>
        <v>0</v>
      </c>
      <c r="I289" s="12">
        <f t="shared" si="14"/>
        <v>0</v>
      </c>
    </row>
    <row r="290" spans="1:9">
      <c r="A290" s="5" t="s">
        <v>347</v>
      </c>
      <c r="B290" s="1017">
        <v>3368785</v>
      </c>
      <c r="C290" s="1016"/>
      <c r="E290" s="3">
        <f>+IFERROR(VLOOKUP(A290,'TB Final'!$A$4:$J$497,5,),0)</f>
        <v>3368785</v>
      </c>
      <c r="F290" s="3">
        <f>+IFERROR(VLOOKUP(A290,'TB Final'!$A$4:$J$497,8,),0)</f>
        <v>0</v>
      </c>
      <c r="G290" s="12">
        <f t="shared" si="12"/>
        <v>0</v>
      </c>
      <c r="H290" s="12">
        <f t="shared" si="13"/>
        <v>0</v>
      </c>
      <c r="I290" s="12">
        <f t="shared" si="14"/>
        <v>0</v>
      </c>
    </row>
    <row r="291" spans="1:9">
      <c r="A291" s="5" t="s">
        <v>343</v>
      </c>
      <c r="B291" s="1017">
        <v>960861.5</v>
      </c>
      <c r="C291" s="1016"/>
      <c r="E291" s="3">
        <f>+IFERROR(VLOOKUP(A291,'TB Final'!$A$4:$J$497,5,),0)</f>
        <v>960861.5</v>
      </c>
      <c r="F291" s="3">
        <f>+IFERROR(VLOOKUP(A291,'TB Final'!$A$4:$J$497,8,),0)</f>
        <v>0</v>
      </c>
      <c r="G291" s="12">
        <f t="shared" si="12"/>
        <v>0</v>
      </c>
      <c r="H291" s="12">
        <f t="shared" si="13"/>
        <v>0</v>
      </c>
      <c r="I291" s="12">
        <f t="shared" si="14"/>
        <v>0</v>
      </c>
    </row>
    <row r="292" spans="1:9">
      <c r="A292" s="5" t="s">
        <v>348</v>
      </c>
      <c r="B292" s="1016"/>
      <c r="C292" s="1017">
        <v>40975</v>
      </c>
      <c r="E292" s="3">
        <f>+IFERROR(VLOOKUP(A292,'TB Final'!$A$4:$J$497,5,),0)</f>
        <v>0</v>
      </c>
      <c r="F292" s="3">
        <f>+IFERROR(VLOOKUP(A292,'TB Final'!$A$4:$J$497,8,),0)</f>
        <v>40975</v>
      </c>
      <c r="G292" s="12">
        <f t="shared" si="12"/>
        <v>0</v>
      </c>
      <c r="H292" s="12">
        <f t="shared" si="13"/>
        <v>0</v>
      </c>
      <c r="I292" s="12">
        <f t="shared" si="14"/>
        <v>0</v>
      </c>
    </row>
    <row r="293" spans="1:9">
      <c r="A293" s="5" t="s">
        <v>349</v>
      </c>
      <c r="B293" s="1016"/>
      <c r="C293" s="1017">
        <v>84100</v>
      </c>
      <c r="E293" s="3">
        <f>+IFERROR(VLOOKUP(A293,'TB Final'!$A$4:$J$497,5,),0)</f>
        <v>0</v>
      </c>
      <c r="F293" s="3">
        <f>+IFERROR(VLOOKUP(A293,'TB Final'!$A$4:$J$497,8,),0)</f>
        <v>84100</v>
      </c>
      <c r="G293" s="12">
        <f t="shared" si="12"/>
        <v>0</v>
      </c>
      <c r="H293" s="12">
        <f t="shared" si="13"/>
        <v>0</v>
      </c>
      <c r="I293" s="12">
        <f t="shared" si="14"/>
        <v>0</v>
      </c>
    </row>
    <row r="294" spans="1:9">
      <c r="A294" s="5" t="s">
        <v>350</v>
      </c>
      <c r="B294" s="1016"/>
      <c r="C294" s="1017">
        <v>40975</v>
      </c>
      <c r="E294" s="3">
        <f>+IFERROR(VLOOKUP(A294,'TB Final'!$A$4:$J$497,5,),0)</f>
        <v>0</v>
      </c>
      <c r="F294" s="3">
        <f>+IFERROR(VLOOKUP(A294,'TB Final'!$A$4:$J$497,8,),0)</f>
        <v>40975</v>
      </c>
      <c r="G294" s="12">
        <f t="shared" si="12"/>
        <v>0</v>
      </c>
      <c r="H294" s="12">
        <f t="shared" si="13"/>
        <v>0</v>
      </c>
      <c r="I294" s="12">
        <f t="shared" si="14"/>
        <v>0</v>
      </c>
    </row>
    <row r="295" spans="1:9">
      <c r="A295" s="5" t="s">
        <v>615</v>
      </c>
      <c r="B295" s="1016"/>
      <c r="C295" s="1017">
        <v>3794288</v>
      </c>
      <c r="E295" s="3">
        <f>+IFERROR(VLOOKUP(A295,'TB Final'!$A$4:$J$497,5,),0)</f>
        <v>0</v>
      </c>
      <c r="F295" s="3">
        <f>+IFERROR(VLOOKUP(A295,'TB Final'!$A$4:$J$497,8,),0)</f>
        <v>3794288</v>
      </c>
      <c r="G295" s="12">
        <f t="shared" si="12"/>
        <v>0</v>
      </c>
      <c r="H295" s="12">
        <f t="shared" si="13"/>
        <v>0</v>
      </c>
      <c r="I295" s="12">
        <f t="shared" si="14"/>
        <v>0</v>
      </c>
    </row>
    <row r="296" spans="1:9">
      <c r="A296" s="5" t="s">
        <v>1000</v>
      </c>
      <c r="B296" s="1016"/>
      <c r="C296" s="1017">
        <v>2200000</v>
      </c>
      <c r="E296" s="3">
        <f>+IFERROR(VLOOKUP(A296,'TB Final'!$A$4:$J$497,5,),0)</f>
        <v>0</v>
      </c>
      <c r="F296" s="3">
        <f>+IFERROR(VLOOKUP(A296,'TB Final'!$A$4:$J$497,8,),0)</f>
        <v>2200000</v>
      </c>
      <c r="G296" s="12">
        <f t="shared" si="12"/>
        <v>0</v>
      </c>
      <c r="H296" s="12">
        <f t="shared" si="13"/>
        <v>0</v>
      </c>
      <c r="I296" s="12">
        <f t="shared" si="14"/>
        <v>0</v>
      </c>
    </row>
    <row r="297" spans="1:9">
      <c r="A297" s="5" t="s">
        <v>616</v>
      </c>
      <c r="B297" s="1017">
        <v>3072000</v>
      </c>
      <c r="C297" s="1016"/>
      <c r="E297" s="3">
        <f>+IFERROR(VLOOKUP(A297,'TB Final'!$A$4:$J$497,5,),0)</f>
        <v>3072000</v>
      </c>
      <c r="F297" s="3">
        <f>+IFERROR(VLOOKUP(A297,'TB Final'!$A$4:$J$497,8,),0)</f>
        <v>0</v>
      </c>
      <c r="G297" s="12">
        <f t="shared" si="12"/>
        <v>0</v>
      </c>
      <c r="H297" s="12">
        <f t="shared" si="13"/>
        <v>0</v>
      </c>
      <c r="I297" s="12">
        <f t="shared" si="14"/>
        <v>0</v>
      </c>
    </row>
    <row r="298" spans="1:9">
      <c r="A298" s="5" t="s">
        <v>354</v>
      </c>
      <c r="B298" s="1017">
        <v>296207.59999999998</v>
      </c>
      <c r="C298" s="1016"/>
      <c r="E298" s="3">
        <f>+IFERROR(VLOOKUP(A298,'TB Final'!$A$4:$J$497,5,),0)</f>
        <v>296207.59999999998</v>
      </c>
      <c r="F298" s="3">
        <f>+IFERROR(VLOOKUP(A298,'TB Final'!$A$4:$J$497,8,),0)</f>
        <v>0</v>
      </c>
      <c r="G298" s="12">
        <f t="shared" si="12"/>
        <v>0</v>
      </c>
      <c r="H298" s="12">
        <f t="shared" si="13"/>
        <v>0</v>
      </c>
      <c r="I298" s="12">
        <f t="shared" si="14"/>
        <v>0</v>
      </c>
    </row>
    <row r="299" spans="1:9">
      <c r="A299" s="5" t="s">
        <v>357</v>
      </c>
      <c r="B299" s="1017">
        <v>268584</v>
      </c>
      <c r="C299" s="1016"/>
      <c r="E299" s="3">
        <f>+IFERROR(VLOOKUP(A299,'TB Final'!$A$4:$J$497,5,),0)</f>
        <v>268584</v>
      </c>
      <c r="F299" s="3">
        <f>+IFERROR(VLOOKUP(A299,'TB Final'!$A$4:$J$497,8,),0)</f>
        <v>0</v>
      </c>
      <c r="G299" s="12">
        <f t="shared" si="12"/>
        <v>0</v>
      </c>
      <c r="H299" s="12">
        <f t="shared" si="13"/>
        <v>0</v>
      </c>
      <c r="I299" s="12">
        <f t="shared" si="14"/>
        <v>0</v>
      </c>
    </row>
    <row r="300" spans="1:9">
      <c r="A300" s="5" t="s">
        <v>617</v>
      </c>
      <c r="B300" s="1017">
        <v>93430.13</v>
      </c>
      <c r="C300" s="1016"/>
      <c r="E300" s="3">
        <f>+IFERROR(VLOOKUP(A300,'TB Final'!$A$4:$J$497,5,),0)</f>
        <v>93430.13</v>
      </c>
      <c r="F300" s="3">
        <f>+IFERROR(VLOOKUP(A300,'TB Final'!$A$4:$J$497,8,),0)</f>
        <v>0</v>
      </c>
      <c r="G300" s="12">
        <f t="shared" si="12"/>
        <v>0</v>
      </c>
      <c r="H300" s="12">
        <f t="shared" si="13"/>
        <v>0</v>
      </c>
      <c r="I300" s="12">
        <f t="shared" si="14"/>
        <v>0</v>
      </c>
    </row>
    <row r="301" spans="1:9">
      <c r="A301" s="5" t="s">
        <v>358</v>
      </c>
      <c r="B301" s="1016"/>
      <c r="C301" s="1017">
        <v>50905004</v>
      </c>
      <c r="E301" s="3">
        <f>+IFERROR(VLOOKUP(A301,'TB Final'!$A$4:$J$497,5,),0)</f>
        <v>0</v>
      </c>
      <c r="F301" s="3">
        <f>+IFERROR(VLOOKUP(A301,'TB Final'!$A$4:$J$497,8,),0)</f>
        <v>50905004</v>
      </c>
      <c r="G301" s="12">
        <f t="shared" si="12"/>
        <v>0</v>
      </c>
      <c r="H301" s="12">
        <f t="shared" si="13"/>
        <v>0</v>
      </c>
      <c r="I301" s="12">
        <f t="shared" si="14"/>
        <v>0</v>
      </c>
    </row>
    <row r="302" spans="1:9">
      <c r="A302" s="5" t="s">
        <v>618</v>
      </c>
      <c r="B302" s="1016"/>
      <c r="C302" s="1017">
        <v>1115100</v>
      </c>
      <c r="E302" s="3">
        <f>+IFERROR(VLOOKUP(A302,'TB Final'!$A$4:$J$497,5,),0)</f>
        <v>0</v>
      </c>
      <c r="F302" s="3">
        <f>+IFERROR(VLOOKUP(A302,'TB Final'!$A$4:$J$497,8,),0)</f>
        <v>1115100</v>
      </c>
      <c r="G302" s="12">
        <f t="shared" si="12"/>
        <v>0</v>
      </c>
      <c r="H302" s="12">
        <f t="shared" si="13"/>
        <v>0</v>
      </c>
      <c r="I302" s="12">
        <f t="shared" si="14"/>
        <v>0</v>
      </c>
    </row>
    <row r="303" spans="1:9">
      <c r="A303" s="5" t="s">
        <v>619</v>
      </c>
      <c r="B303" s="1017">
        <v>217500</v>
      </c>
      <c r="C303" s="1016"/>
      <c r="E303" s="3">
        <f>+IFERROR(VLOOKUP(A303,'TB Final'!$A$4:$J$497,5,),0)</f>
        <v>217500</v>
      </c>
      <c r="F303" s="3">
        <f>+IFERROR(VLOOKUP(A303,'TB Final'!$A$4:$J$497,8,),0)</f>
        <v>0</v>
      </c>
      <c r="G303" s="12">
        <f t="shared" si="12"/>
        <v>0</v>
      </c>
      <c r="H303" s="12">
        <f t="shared" si="13"/>
        <v>0</v>
      </c>
      <c r="I303" s="12">
        <f t="shared" si="14"/>
        <v>0</v>
      </c>
    </row>
    <row r="304" spans="1:9">
      <c r="A304" s="5" t="s">
        <v>620</v>
      </c>
      <c r="B304" s="1016"/>
      <c r="C304" s="1017">
        <v>243000</v>
      </c>
      <c r="E304" s="3">
        <f>+IFERROR(VLOOKUP(A304,'TB Final'!$A$4:$J$497,5,),0)</f>
        <v>0</v>
      </c>
      <c r="F304" s="3">
        <f>+IFERROR(VLOOKUP(A304,'TB Final'!$A$4:$J$497,8,),0)</f>
        <v>243000</v>
      </c>
      <c r="G304" s="12">
        <f t="shared" si="12"/>
        <v>0</v>
      </c>
      <c r="H304" s="12">
        <f t="shared" si="13"/>
        <v>0</v>
      </c>
      <c r="I304" s="12">
        <f t="shared" si="14"/>
        <v>0</v>
      </c>
    </row>
    <row r="305" spans="1:9">
      <c r="A305" s="5" t="s">
        <v>359</v>
      </c>
      <c r="B305" s="1017">
        <v>7900</v>
      </c>
      <c r="C305" s="1016"/>
      <c r="E305" s="3">
        <f>+IFERROR(VLOOKUP(A305,'TB Final'!$A$4:$J$497,5,),0)</f>
        <v>7900</v>
      </c>
      <c r="F305" s="3">
        <f>+IFERROR(VLOOKUP(A305,'TB Final'!$A$4:$J$497,8,),0)</f>
        <v>0</v>
      </c>
      <c r="G305" s="12">
        <f t="shared" si="12"/>
        <v>0</v>
      </c>
      <c r="H305" s="12">
        <f t="shared" si="13"/>
        <v>0</v>
      </c>
      <c r="I305" s="12">
        <f t="shared" si="14"/>
        <v>0</v>
      </c>
    </row>
    <row r="306" spans="1:9">
      <c r="A306" s="5" t="s">
        <v>467</v>
      </c>
      <c r="B306" s="1017">
        <v>221984</v>
      </c>
      <c r="C306" s="1016"/>
      <c r="E306" s="3">
        <f>+IFERROR(VLOOKUP(A306,'TB Final'!$A$4:$J$497,5,),0)</f>
        <v>221984</v>
      </c>
      <c r="F306" s="3">
        <f>+IFERROR(VLOOKUP(A306,'TB Final'!$A$4:$J$497,8,),0)</f>
        <v>0</v>
      </c>
      <c r="G306" s="12">
        <f t="shared" si="12"/>
        <v>0</v>
      </c>
      <c r="H306" s="12">
        <f t="shared" si="13"/>
        <v>0</v>
      </c>
      <c r="I306" s="12">
        <f t="shared" si="14"/>
        <v>0</v>
      </c>
    </row>
    <row r="307" spans="1:9">
      <c r="A307" s="5" t="s">
        <v>360</v>
      </c>
      <c r="B307" s="1016"/>
      <c r="C307" s="1017">
        <v>3597964</v>
      </c>
      <c r="E307" s="3">
        <f>+IFERROR(VLOOKUP(A307,'TB Final'!$A$4:$J$497,5,),0)</f>
        <v>0</v>
      </c>
      <c r="F307" s="3">
        <f>+IFERROR(VLOOKUP(A307,'TB Final'!$A$4:$J$497,8,),0)</f>
        <v>3597964</v>
      </c>
      <c r="G307" s="12">
        <f t="shared" si="12"/>
        <v>0</v>
      </c>
      <c r="H307" s="12">
        <f t="shared" si="13"/>
        <v>0</v>
      </c>
      <c r="I307" s="12">
        <f t="shared" si="14"/>
        <v>0</v>
      </c>
    </row>
    <row r="308" spans="1:9">
      <c r="A308" s="5" t="s">
        <v>361</v>
      </c>
      <c r="B308" s="1016"/>
      <c r="C308" s="1017">
        <v>676.59</v>
      </c>
      <c r="E308" s="3">
        <f>+IFERROR(VLOOKUP(A308,'TB Final'!$A$4:$J$497,5,),0)</f>
        <v>0</v>
      </c>
      <c r="F308" s="3">
        <f>+IFERROR(VLOOKUP(A308,'TB Final'!$A$4:$J$497,8,),0)</f>
        <v>676.59</v>
      </c>
      <c r="G308" s="12">
        <f t="shared" si="12"/>
        <v>0</v>
      </c>
      <c r="H308" s="12">
        <f t="shared" si="13"/>
        <v>0</v>
      </c>
      <c r="I308" s="12">
        <f t="shared" si="14"/>
        <v>0</v>
      </c>
    </row>
    <row r="309" spans="1:9">
      <c r="A309" s="5" t="s">
        <v>469</v>
      </c>
      <c r="B309" s="1017">
        <v>28916252</v>
      </c>
      <c r="C309" s="1016"/>
      <c r="E309" s="3">
        <f>+IFERROR(VLOOKUP(A309,'TB Final'!$A$4:$J$497,5,),0)</f>
        <v>28916252</v>
      </c>
      <c r="F309" s="3">
        <f>+IFERROR(VLOOKUP(A309,'TB Final'!$A$4:$J$497,8,),0)</f>
        <v>0</v>
      </c>
      <c r="G309" s="12">
        <f t="shared" si="12"/>
        <v>0</v>
      </c>
      <c r="H309" s="12">
        <f t="shared" si="13"/>
        <v>0</v>
      </c>
      <c r="I309" s="12">
        <f t="shared" si="14"/>
        <v>0</v>
      </c>
    </row>
    <row r="310" spans="1:9">
      <c r="A310" s="5" t="s">
        <v>621</v>
      </c>
      <c r="B310" s="1017">
        <v>515492</v>
      </c>
      <c r="C310" s="1016"/>
      <c r="E310" s="3">
        <f>+IFERROR(VLOOKUP(A310,'TB Final'!$A$4:$J$497,5,),0)</f>
        <v>515492</v>
      </c>
      <c r="F310" s="3">
        <f>+IFERROR(VLOOKUP(A310,'TB Final'!$A$4:$J$497,8,),0)</f>
        <v>0</v>
      </c>
      <c r="G310" s="12">
        <f t="shared" si="12"/>
        <v>0</v>
      </c>
      <c r="H310" s="12">
        <f t="shared" si="13"/>
        <v>0</v>
      </c>
      <c r="I310" s="12">
        <f t="shared" si="14"/>
        <v>0</v>
      </c>
    </row>
    <row r="311" spans="1:9">
      <c r="A311" s="5" t="s">
        <v>622</v>
      </c>
      <c r="B311" s="1016"/>
      <c r="C311" s="1017">
        <v>25438</v>
      </c>
      <c r="E311" s="3">
        <f>+IFERROR(VLOOKUP(A311,'TB Final'!$A$4:$J$497,5,),0)</f>
        <v>0</v>
      </c>
      <c r="F311" s="3">
        <f>+IFERROR(VLOOKUP(A311,'TB Final'!$A$4:$J$497,8,),0)</f>
        <v>25438</v>
      </c>
      <c r="G311" s="12">
        <f t="shared" si="12"/>
        <v>0</v>
      </c>
      <c r="H311" s="12">
        <f t="shared" si="13"/>
        <v>0</v>
      </c>
      <c r="I311" s="12">
        <f t="shared" si="14"/>
        <v>0</v>
      </c>
    </row>
    <row r="312" spans="1:9">
      <c r="A312" s="5" t="s">
        <v>367</v>
      </c>
      <c r="B312" s="1016"/>
      <c r="C312" s="1017">
        <v>1561707</v>
      </c>
      <c r="E312" s="3">
        <f>+IFERROR(VLOOKUP(A312,'TB Final'!$A$4:$J$497,5,),0)</f>
        <v>0</v>
      </c>
      <c r="F312" s="3">
        <f>+IFERROR(VLOOKUP(A312,'TB Final'!$A$4:$J$497,8,),0)</f>
        <v>1561707</v>
      </c>
      <c r="G312" s="12">
        <f t="shared" si="12"/>
        <v>0</v>
      </c>
      <c r="H312" s="12">
        <f t="shared" si="13"/>
        <v>0</v>
      </c>
      <c r="I312" s="12">
        <f t="shared" si="14"/>
        <v>0</v>
      </c>
    </row>
    <row r="313" spans="1:9">
      <c r="A313" s="5" t="s">
        <v>368</v>
      </c>
      <c r="B313" s="1016"/>
      <c r="C313" s="1017">
        <v>1087441</v>
      </c>
      <c r="E313" s="3">
        <f>+IFERROR(VLOOKUP(A313,'TB Final'!$A$4:$J$497,5,),0)</f>
        <v>0</v>
      </c>
      <c r="F313" s="3">
        <f>+IFERROR(VLOOKUP(A313,'TB Final'!$A$4:$J$497,8,),0)</f>
        <v>1087441</v>
      </c>
      <c r="G313" s="12">
        <f t="shared" si="12"/>
        <v>0</v>
      </c>
      <c r="H313" s="12">
        <f t="shared" si="13"/>
        <v>0</v>
      </c>
      <c r="I313" s="12">
        <f t="shared" si="14"/>
        <v>0</v>
      </c>
    </row>
    <row r="314" spans="1:9">
      <c r="A314" s="5" t="s">
        <v>370</v>
      </c>
      <c r="B314" s="1017">
        <v>237000</v>
      </c>
      <c r="C314" s="1016"/>
      <c r="E314" s="3">
        <f>+IFERROR(VLOOKUP(A314,'TB Final'!$A$4:$J$497,5,),0)</f>
        <v>237000</v>
      </c>
      <c r="F314" s="3">
        <f>+IFERROR(VLOOKUP(A314,'TB Final'!$A$4:$J$497,8,),0)</f>
        <v>0</v>
      </c>
      <c r="G314" s="12">
        <f t="shared" si="12"/>
        <v>0</v>
      </c>
      <c r="H314" s="12">
        <f t="shared" si="13"/>
        <v>0</v>
      </c>
      <c r="I314" s="12">
        <f t="shared" si="14"/>
        <v>0</v>
      </c>
    </row>
    <row r="315" spans="1:9">
      <c r="A315" s="5" t="s">
        <v>623</v>
      </c>
      <c r="B315" s="1017">
        <v>2732000</v>
      </c>
      <c r="C315" s="1016"/>
      <c r="E315" s="3">
        <f>+IFERROR(VLOOKUP(A315,'TB Final'!$A$4:$J$497,5,),0)</f>
        <v>2732000</v>
      </c>
      <c r="F315" s="3">
        <f>+IFERROR(VLOOKUP(A315,'TB Final'!$A$4:$J$497,8,),0)</f>
        <v>0</v>
      </c>
      <c r="G315" s="12">
        <f t="shared" si="12"/>
        <v>0</v>
      </c>
      <c r="H315" s="12">
        <f t="shared" si="13"/>
        <v>0</v>
      </c>
      <c r="I315" s="12">
        <f t="shared" si="14"/>
        <v>0</v>
      </c>
    </row>
    <row r="316" spans="1:9">
      <c r="A316" s="5" t="s">
        <v>624</v>
      </c>
      <c r="B316" s="1017">
        <v>2857400</v>
      </c>
      <c r="C316" s="1016"/>
      <c r="E316" s="3">
        <f>+IFERROR(VLOOKUP(A316,'TB Final'!$A$4:$J$497,5,),0)</f>
        <v>2857400</v>
      </c>
      <c r="F316" s="3">
        <f>+IFERROR(VLOOKUP(A316,'TB Final'!$A$4:$J$497,8,),0)</f>
        <v>0</v>
      </c>
      <c r="G316" s="12">
        <f t="shared" si="12"/>
        <v>0</v>
      </c>
      <c r="H316" s="12">
        <f t="shared" si="13"/>
        <v>0</v>
      </c>
      <c r="I316" s="12">
        <f t="shared" si="14"/>
        <v>0</v>
      </c>
    </row>
    <row r="317" spans="1:9">
      <c r="A317" s="5" t="s">
        <v>625</v>
      </c>
      <c r="B317" s="1017">
        <v>7499801</v>
      </c>
      <c r="C317" s="1016"/>
      <c r="E317" s="3">
        <f>+IFERROR(VLOOKUP(A317,'TB Final'!$A$4:$J$497,5,),0)</f>
        <v>7499801</v>
      </c>
      <c r="F317" s="3">
        <f>+IFERROR(VLOOKUP(A317,'TB Final'!$A$4:$J$497,8,),0)</f>
        <v>0</v>
      </c>
      <c r="G317" s="12">
        <f t="shared" si="12"/>
        <v>0</v>
      </c>
      <c r="H317" s="12">
        <f t="shared" si="13"/>
        <v>0</v>
      </c>
      <c r="I317" s="12">
        <f t="shared" si="14"/>
        <v>0</v>
      </c>
    </row>
    <row r="318" spans="1:9">
      <c r="A318" s="5" t="s">
        <v>375</v>
      </c>
      <c r="B318" s="1016"/>
      <c r="C318" s="1017">
        <v>930626444.45000005</v>
      </c>
      <c r="E318" s="3">
        <f>+IFERROR(VLOOKUP(A318,'TB Final'!$A$4:$J$497,5,),0)</f>
        <v>0</v>
      </c>
      <c r="F318" s="3">
        <f>+IFERROR(VLOOKUP(A318,'TB Final'!$A$4:$J$497,8,),0)</f>
        <v>930626444.45000005</v>
      </c>
      <c r="G318" s="12">
        <f t="shared" si="12"/>
        <v>0</v>
      </c>
      <c r="H318" s="12">
        <f t="shared" si="13"/>
        <v>0</v>
      </c>
      <c r="I318" s="12">
        <f t="shared" si="14"/>
        <v>0</v>
      </c>
    </row>
    <row r="319" spans="1:9">
      <c r="A319" s="5" t="s">
        <v>160</v>
      </c>
      <c r="B319" s="1016"/>
      <c r="C319" s="1017">
        <v>138935526.5</v>
      </c>
      <c r="E319" s="3">
        <f>+IFERROR(VLOOKUP(A319,'TB Final'!$A$4:$J$497,5,),0)</f>
        <v>0</v>
      </c>
      <c r="F319" s="3">
        <f>+IFERROR(VLOOKUP(A319,'TB Final'!$A$4:$J$497,8,),0)</f>
        <v>138935526.5</v>
      </c>
      <c r="G319" s="12">
        <f t="shared" si="12"/>
        <v>0</v>
      </c>
      <c r="H319" s="12">
        <f t="shared" si="13"/>
        <v>0</v>
      </c>
      <c r="I319" s="12">
        <f t="shared" si="14"/>
        <v>0</v>
      </c>
    </row>
    <row r="320" spans="1:9">
      <c r="A320" s="5" t="s">
        <v>626</v>
      </c>
      <c r="B320" s="1017">
        <v>1400</v>
      </c>
      <c r="C320" s="1016"/>
      <c r="E320" s="3">
        <f>+IFERROR(VLOOKUP(A320,'TB Final'!$A$4:$J$497,5,),0)</f>
        <v>1400</v>
      </c>
      <c r="F320" s="3">
        <f>+IFERROR(VLOOKUP(A320,'TB Final'!$A$4:$J$497,8,),0)</f>
        <v>0</v>
      </c>
      <c r="G320" s="12">
        <f t="shared" si="12"/>
        <v>0</v>
      </c>
      <c r="H320" s="12">
        <f t="shared" si="13"/>
        <v>0</v>
      </c>
      <c r="I320" s="12">
        <f t="shared" si="14"/>
        <v>0</v>
      </c>
    </row>
    <row r="321" spans="1:9">
      <c r="A321" s="5" t="s">
        <v>627</v>
      </c>
      <c r="B321" s="1016"/>
      <c r="C321" s="1017">
        <v>603566</v>
      </c>
      <c r="E321" s="3">
        <f>+IFERROR(VLOOKUP(A321,'TB Final'!$A$4:$J$497,5,),0)</f>
        <v>0</v>
      </c>
      <c r="F321" s="3">
        <f>+IFERROR(VLOOKUP(A321,'TB Final'!$A$4:$J$497,8,),0)</f>
        <v>603566</v>
      </c>
      <c r="G321" s="12">
        <f t="shared" si="12"/>
        <v>0</v>
      </c>
      <c r="H321" s="12">
        <f t="shared" si="13"/>
        <v>0</v>
      </c>
      <c r="I321" s="12">
        <f t="shared" si="14"/>
        <v>0</v>
      </c>
    </row>
    <row r="322" spans="1:9">
      <c r="A322" s="5" t="s">
        <v>376</v>
      </c>
      <c r="B322" s="1016"/>
      <c r="C322" s="1017">
        <v>1308589</v>
      </c>
      <c r="E322" s="3">
        <f>+IFERROR(VLOOKUP(A322,'TB Final'!$A$4:$J$497,5,),0)</f>
        <v>0</v>
      </c>
      <c r="F322" s="3">
        <f>+IFERROR(VLOOKUP(A322,'TB Final'!$A$4:$J$497,8,),0)</f>
        <v>1308589</v>
      </c>
      <c r="G322" s="12">
        <f t="shared" si="12"/>
        <v>0</v>
      </c>
      <c r="H322" s="12">
        <f t="shared" si="13"/>
        <v>0</v>
      </c>
      <c r="I322" s="12">
        <f t="shared" si="14"/>
        <v>0</v>
      </c>
    </row>
    <row r="323" spans="1:9">
      <c r="A323" s="5" t="s">
        <v>628</v>
      </c>
      <c r="B323" s="1016"/>
      <c r="C323" s="1017">
        <v>2035521</v>
      </c>
      <c r="E323" s="3">
        <f>+IFERROR(VLOOKUP(A323,'TB Final'!$A$4:$J$497,5,),0)</f>
        <v>0</v>
      </c>
      <c r="F323" s="3">
        <f>+IFERROR(VLOOKUP(A323,'TB Final'!$A$4:$J$497,8,),0)</f>
        <v>2035521</v>
      </c>
      <c r="G323" s="12">
        <f t="shared" si="12"/>
        <v>0</v>
      </c>
      <c r="H323" s="12">
        <f t="shared" si="13"/>
        <v>0</v>
      </c>
      <c r="I323" s="12">
        <f t="shared" si="14"/>
        <v>0</v>
      </c>
    </row>
    <row r="324" spans="1:9">
      <c r="A324" s="5" t="s">
        <v>44</v>
      </c>
      <c r="B324" s="1017">
        <v>5613955</v>
      </c>
      <c r="C324" s="1016"/>
      <c r="E324" s="3">
        <f>+IFERROR(VLOOKUP(A324,'TB Final'!$A$4:$J$497,5,),0)</f>
        <v>5613955</v>
      </c>
      <c r="F324" s="3">
        <f>+IFERROR(VLOOKUP(A324,'TB Final'!$A$4:$J$497,8,),0)</f>
        <v>0</v>
      </c>
      <c r="G324" s="12">
        <f t="shared" si="12"/>
        <v>0</v>
      </c>
      <c r="H324" s="12">
        <f t="shared" si="13"/>
        <v>0</v>
      </c>
      <c r="I324" s="12">
        <f t="shared" si="14"/>
        <v>0</v>
      </c>
    </row>
    <row r="325" spans="1:9">
      <c r="A325" s="5" t="s">
        <v>629</v>
      </c>
      <c r="B325" s="1016"/>
      <c r="C325" s="1017">
        <v>10184018</v>
      </c>
      <c r="E325" s="3">
        <f>+IFERROR(VLOOKUP(A325,'TB Final'!$A$4:$J$497,5,),0)</f>
        <v>0</v>
      </c>
      <c r="F325" s="3">
        <f>+IFERROR(VLOOKUP(A325,'TB Final'!$A$4:$J$497,8,),0)</f>
        <v>10184018</v>
      </c>
      <c r="G325" s="12">
        <f t="shared" si="12"/>
        <v>0</v>
      </c>
      <c r="H325" s="12">
        <f t="shared" si="13"/>
        <v>0</v>
      </c>
      <c r="I325" s="12">
        <f t="shared" si="14"/>
        <v>0</v>
      </c>
    </row>
    <row r="326" spans="1:9">
      <c r="A326" s="5" t="s">
        <v>471</v>
      </c>
      <c r="B326" s="1016"/>
      <c r="C326" s="1017">
        <v>7221052.2300000004</v>
      </c>
      <c r="E326" s="3">
        <f>+IFERROR(VLOOKUP(A326,'TB Final'!$A$4:$J$497,5,),0)</f>
        <v>0</v>
      </c>
      <c r="F326" s="3">
        <f>+IFERROR(VLOOKUP(A326,'TB Final'!$A$4:$J$497,8,),0)</f>
        <v>7221052.2300000004</v>
      </c>
      <c r="G326" s="12">
        <f t="shared" si="12"/>
        <v>0</v>
      </c>
      <c r="H326" s="12">
        <f t="shared" si="13"/>
        <v>0</v>
      </c>
      <c r="I326" s="12">
        <f t="shared" si="14"/>
        <v>0</v>
      </c>
    </row>
    <row r="327" spans="1:9">
      <c r="A327" s="5" t="s">
        <v>500</v>
      </c>
      <c r="B327" s="1016"/>
      <c r="C327" s="1017">
        <v>4745540.8600000003</v>
      </c>
      <c r="E327" s="3">
        <f>+IFERROR(VLOOKUP(A327,'TB Final'!$A$4:$J$497,5,),0)</f>
        <v>0</v>
      </c>
      <c r="F327" s="3">
        <f>+IFERROR(VLOOKUP(A327,'TB Final'!$A$4:$J$497,8,),0)</f>
        <v>4745540.8600000003</v>
      </c>
      <c r="G327" s="12">
        <f t="shared" si="12"/>
        <v>0</v>
      </c>
      <c r="H327" s="12">
        <f t="shared" si="13"/>
        <v>0</v>
      </c>
      <c r="I327" s="12">
        <f t="shared" si="14"/>
        <v>0</v>
      </c>
    </row>
    <row r="328" spans="1:9">
      <c r="A328" s="5" t="s">
        <v>362</v>
      </c>
      <c r="B328" s="1017">
        <v>9459.64</v>
      </c>
      <c r="C328" s="1016"/>
      <c r="E328" s="3">
        <f>+IFERROR(VLOOKUP(A328,'TB Final'!$A$4:$J$497,5,),0)</f>
        <v>9459.64</v>
      </c>
      <c r="F328" s="3">
        <f>+IFERROR(VLOOKUP(A328,'TB Final'!$A$4:$J$497,8,),0)</f>
        <v>0</v>
      </c>
      <c r="G328" s="12">
        <f t="shared" si="12"/>
        <v>0</v>
      </c>
      <c r="H328" s="12">
        <f t="shared" si="13"/>
        <v>0</v>
      </c>
      <c r="I328" s="12">
        <f t="shared" si="14"/>
        <v>0</v>
      </c>
    </row>
    <row r="329" spans="1:9">
      <c r="A329" s="5" t="s">
        <v>472</v>
      </c>
      <c r="B329" s="1016"/>
      <c r="C329" s="1017">
        <v>62630931</v>
      </c>
      <c r="E329" s="3">
        <f>+IFERROR(VLOOKUP(A329,'TB Final'!$A$4:$J$497,5,),0)</f>
        <v>0</v>
      </c>
      <c r="F329" s="3">
        <f>+IFERROR(VLOOKUP(A329,'TB Final'!$A$4:$J$497,8,),0)</f>
        <v>62630931</v>
      </c>
      <c r="G329" s="12">
        <f t="shared" si="12"/>
        <v>0</v>
      </c>
      <c r="H329" s="12">
        <f t="shared" si="13"/>
        <v>0</v>
      </c>
      <c r="I329" s="12">
        <f t="shared" si="14"/>
        <v>0</v>
      </c>
    </row>
    <row r="330" spans="1:9">
      <c r="A330" s="5" t="s">
        <v>378</v>
      </c>
      <c r="B330" s="1016"/>
      <c r="C330" s="1017">
        <v>8664946</v>
      </c>
      <c r="E330" s="3">
        <f>+IFERROR(VLOOKUP(A330,'TB Final'!$A$4:$J$497,5,),0)</f>
        <v>0</v>
      </c>
      <c r="F330" s="3">
        <f>+IFERROR(VLOOKUP(A330,'TB Final'!$A$4:$J$497,8,),0)</f>
        <v>8664946</v>
      </c>
      <c r="G330" s="12">
        <f t="shared" si="12"/>
        <v>0</v>
      </c>
      <c r="H330" s="12">
        <f t="shared" si="13"/>
        <v>0</v>
      </c>
      <c r="I330" s="12">
        <f t="shared" si="14"/>
        <v>0</v>
      </c>
    </row>
    <row r="331" spans="1:9">
      <c r="A331" s="5" t="s">
        <v>380</v>
      </c>
      <c r="B331" s="1017">
        <v>905691</v>
      </c>
      <c r="C331" s="1016"/>
      <c r="E331" s="3">
        <f>+IFERROR(VLOOKUP(A331,'TB Final'!$A$4:$J$497,5,),0)</f>
        <v>905691</v>
      </c>
      <c r="F331" s="3">
        <f>+IFERROR(VLOOKUP(A331,'TB Final'!$A$4:$J$497,8,),0)</f>
        <v>0</v>
      </c>
      <c r="G331" s="12">
        <f t="shared" si="12"/>
        <v>0</v>
      </c>
      <c r="H331" s="12">
        <f t="shared" si="13"/>
        <v>0</v>
      </c>
      <c r="I331" s="12">
        <f t="shared" si="14"/>
        <v>0</v>
      </c>
    </row>
    <row r="332" spans="1:9">
      <c r="A332" s="5" t="s">
        <v>473</v>
      </c>
      <c r="B332" s="1016"/>
      <c r="C332" s="1017">
        <v>632079</v>
      </c>
      <c r="E332" s="3">
        <f>+IFERROR(VLOOKUP(A332,'TB Final'!$A$4:$J$497,5,),0)</f>
        <v>0</v>
      </c>
      <c r="F332" s="3">
        <f>+IFERROR(VLOOKUP(A332,'TB Final'!$A$4:$J$497,8,),0)</f>
        <v>632079</v>
      </c>
      <c r="G332" s="12">
        <f t="shared" si="12"/>
        <v>0</v>
      </c>
      <c r="H332" s="12">
        <f t="shared" si="13"/>
        <v>0</v>
      </c>
      <c r="I332" s="12">
        <f t="shared" si="14"/>
        <v>0</v>
      </c>
    </row>
    <row r="333" spans="1:9">
      <c r="A333" s="5" t="s">
        <v>381</v>
      </c>
      <c r="B333" s="1016"/>
      <c r="C333" s="1017">
        <v>20016750.5</v>
      </c>
      <c r="E333" s="3">
        <f>+IFERROR(VLOOKUP(A333,'TB Final'!$A$4:$J$497,5,),0)</f>
        <v>0</v>
      </c>
      <c r="F333" s="3">
        <f>+IFERROR(VLOOKUP(A333,'TB Final'!$A$4:$J$497,8,),0)</f>
        <v>20016750.5</v>
      </c>
      <c r="G333" s="12">
        <f t="shared" ref="G333:G396" si="15">+B333-E333</f>
        <v>0</v>
      </c>
      <c r="H333" s="12">
        <f t="shared" ref="H333:H396" si="16">+C333-F333</f>
        <v>0</v>
      </c>
      <c r="I333" s="12">
        <f t="shared" ref="I333:I396" si="17">+SUM(G333:H333)</f>
        <v>0</v>
      </c>
    </row>
    <row r="334" spans="1:9">
      <c r="A334" s="5" t="s">
        <v>352</v>
      </c>
      <c r="B334" s="1017">
        <v>116981</v>
      </c>
      <c r="C334" s="1016"/>
      <c r="E334" s="3">
        <f>+IFERROR(VLOOKUP(A334,'TB Final'!$A$4:$J$497,5,),0)</f>
        <v>116981</v>
      </c>
      <c r="F334" s="3">
        <f>+IFERROR(VLOOKUP(A334,'TB Final'!$A$4:$J$497,8,),0)</f>
        <v>0</v>
      </c>
      <c r="G334" s="12">
        <f t="shared" si="15"/>
        <v>0</v>
      </c>
      <c r="H334" s="12">
        <f t="shared" si="16"/>
        <v>0</v>
      </c>
      <c r="I334" s="12">
        <f t="shared" si="17"/>
        <v>0</v>
      </c>
    </row>
    <row r="335" spans="1:9">
      <c r="A335" s="5" t="s">
        <v>630</v>
      </c>
      <c r="B335" s="1016"/>
      <c r="C335" s="1017">
        <v>3387430.12</v>
      </c>
      <c r="E335" s="3">
        <f>+IFERROR(VLOOKUP(A335,'TB Final'!$A$4:$J$497,5,),0)</f>
        <v>0</v>
      </c>
      <c r="F335" s="3">
        <f>+IFERROR(VLOOKUP(A335,'TB Final'!$A$4:$J$497,8,),0)</f>
        <v>3387430.12</v>
      </c>
      <c r="G335" s="12">
        <f t="shared" si="15"/>
        <v>0</v>
      </c>
      <c r="H335" s="12">
        <f t="shared" si="16"/>
        <v>0</v>
      </c>
      <c r="I335" s="12">
        <f t="shared" si="17"/>
        <v>0</v>
      </c>
    </row>
    <row r="336" spans="1:9">
      <c r="A336" s="5" t="s">
        <v>631</v>
      </c>
      <c r="B336" s="1017">
        <v>2263811.12</v>
      </c>
      <c r="C336" s="1016"/>
      <c r="E336" s="3">
        <f>+IFERROR(VLOOKUP(A336,'TB Final'!$A$4:$J$497,5,),0)</f>
        <v>2263811.12</v>
      </c>
      <c r="F336" s="3">
        <f>+IFERROR(VLOOKUP(A336,'TB Final'!$A$4:$J$497,8,),0)</f>
        <v>0</v>
      </c>
      <c r="G336" s="12">
        <f t="shared" si="15"/>
        <v>0</v>
      </c>
      <c r="H336" s="12">
        <f t="shared" si="16"/>
        <v>0</v>
      </c>
      <c r="I336" s="12">
        <f t="shared" si="17"/>
        <v>0</v>
      </c>
    </row>
    <row r="337" spans="1:9">
      <c r="A337" s="5" t="s">
        <v>241</v>
      </c>
      <c r="B337" s="1016"/>
      <c r="C337" s="1017">
        <v>2129493</v>
      </c>
      <c r="E337" s="3">
        <f>+IFERROR(VLOOKUP(A337,'TB Final'!$A$4:$J$497,5,),0)</f>
        <v>0</v>
      </c>
      <c r="F337" s="3">
        <f>+IFERROR(VLOOKUP(A337,'TB Final'!$A$4:$J$497,8,),0)</f>
        <v>2129493</v>
      </c>
      <c r="G337" s="12">
        <f t="shared" si="15"/>
        <v>0</v>
      </c>
      <c r="H337" s="12">
        <f t="shared" si="16"/>
        <v>0</v>
      </c>
      <c r="I337" s="12">
        <f t="shared" si="17"/>
        <v>0</v>
      </c>
    </row>
    <row r="338" spans="1:9">
      <c r="A338" s="5" t="s">
        <v>384</v>
      </c>
      <c r="B338" s="1017">
        <v>886344</v>
      </c>
      <c r="C338" s="1016"/>
      <c r="E338" s="3">
        <f>+IFERROR(VLOOKUP(A338,'TB Final'!$A$4:$J$497,5,),0)</f>
        <v>886344</v>
      </c>
      <c r="F338" s="3">
        <f>+IFERROR(VLOOKUP(A338,'TB Final'!$A$4:$J$497,8,),0)</f>
        <v>0</v>
      </c>
      <c r="G338" s="12">
        <f t="shared" si="15"/>
        <v>0</v>
      </c>
      <c r="H338" s="12">
        <f t="shared" si="16"/>
        <v>0</v>
      </c>
      <c r="I338" s="12">
        <f t="shared" si="17"/>
        <v>0</v>
      </c>
    </row>
    <row r="339" spans="1:9">
      <c r="A339" s="5" t="s">
        <v>385</v>
      </c>
      <c r="B339" s="1016"/>
      <c r="C339" s="1017">
        <v>1668161.7</v>
      </c>
      <c r="E339" s="3">
        <f>+IFERROR(VLOOKUP(A339,'TB Final'!$A$4:$J$497,5,),0)</f>
        <v>0</v>
      </c>
      <c r="F339" s="3">
        <f>+IFERROR(VLOOKUP(A339,'TB Final'!$A$4:$J$497,8,),0)</f>
        <v>1668161.7</v>
      </c>
      <c r="G339" s="12">
        <f t="shared" si="15"/>
        <v>0</v>
      </c>
      <c r="H339" s="12">
        <f t="shared" si="16"/>
        <v>0</v>
      </c>
      <c r="I339" s="12">
        <f t="shared" si="17"/>
        <v>0</v>
      </c>
    </row>
    <row r="340" spans="1:9">
      <c r="A340" s="5" t="s">
        <v>386</v>
      </c>
      <c r="B340" s="1016"/>
      <c r="C340" s="1017">
        <v>182880</v>
      </c>
      <c r="E340" s="3">
        <f>+IFERROR(VLOOKUP(A340,'TB Final'!$A$4:$J$497,5,),0)</f>
        <v>0</v>
      </c>
      <c r="F340" s="3">
        <f>+IFERROR(VLOOKUP(A340,'TB Final'!$A$4:$J$497,8,),0)</f>
        <v>182880</v>
      </c>
      <c r="G340" s="12">
        <f t="shared" si="15"/>
        <v>0</v>
      </c>
      <c r="H340" s="12">
        <f t="shared" si="16"/>
        <v>0</v>
      </c>
      <c r="I340" s="12">
        <f t="shared" si="17"/>
        <v>0</v>
      </c>
    </row>
    <row r="341" spans="1:9">
      <c r="A341" s="5" t="s">
        <v>14</v>
      </c>
      <c r="B341" s="1017">
        <v>152951</v>
      </c>
      <c r="C341" s="1016"/>
      <c r="E341" s="3">
        <f>+IFERROR(VLOOKUP(A341,'TB Final'!$A$4:$J$497,5,),0)</f>
        <v>152951</v>
      </c>
      <c r="F341" s="3">
        <f>+IFERROR(VLOOKUP(A341,'TB Final'!$A$4:$J$497,8,),0)</f>
        <v>0</v>
      </c>
      <c r="G341" s="12">
        <f t="shared" si="15"/>
        <v>0</v>
      </c>
      <c r="H341" s="12">
        <f t="shared" si="16"/>
        <v>0</v>
      </c>
      <c r="I341" s="12">
        <f t="shared" si="17"/>
        <v>0</v>
      </c>
    </row>
    <row r="342" spans="1:9">
      <c r="A342" s="5" t="s">
        <v>389</v>
      </c>
      <c r="B342" s="1016"/>
      <c r="C342" s="1017">
        <v>2253400</v>
      </c>
      <c r="E342" s="3">
        <f>+IFERROR(VLOOKUP(A342,'TB Final'!$A$4:$J$497,5,),0)</f>
        <v>0</v>
      </c>
      <c r="F342" s="3">
        <f>+IFERROR(VLOOKUP(A342,'TB Final'!$A$4:$J$497,8,),0)</f>
        <v>2253400</v>
      </c>
      <c r="G342" s="12">
        <f t="shared" si="15"/>
        <v>0</v>
      </c>
      <c r="H342" s="12">
        <f t="shared" si="16"/>
        <v>0</v>
      </c>
      <c r="I342" s="12">
        <f t="shared" si="17"/>
        <v>0</v>
      </c>
    </row>
    <row r="343" spans="1:9">
      <c r="A343" s="5" t="s">
        <v>632</v>
      </c>
      <c r="B343" s="1017">
        <v>196757</v>
      </c>
      <c r="C343" s="1016"/>
      <c r="E343" s="3">
        <f>+IFERROR(VLOOKUP(A343,'TB Final'!$A$4:$J$497,5,),0)</f>
        <v>196757</v>
      </c>
      <c r="F343" s="3">
        <f>+IFERROR(VLOOKUP(A343,'TB Final'!$A$4:$J$497,8,),0)</f>
        <v>0</v>
      </c>
      <c r="G343" s="12">
        <f t="shared" si="15"/>
        <v>0</v>
      </c>
      <c r="H343" s="12">
        <f t="shared" si="16"/>
        <v>0</v>
      </c>
      <c r="I343" s="12">
        <f t="shared" si="17"/>
        <v>0</v>
      </c>
    </row>
    <row r="344" spans="1:9">
      <c r="A344" s="5" t="s">
        <v>390</v>
      </c>
      <c r="B344" s="1016"/>
      <c r="C344" s="1017">
        <v>11575</v>
      </c>
      <c r="E344" s="3">
        <f>+IFERROR(VLOOKUP(A344,'TB Final'!$A$4:$J$497,5,),0)</f>
        <v>0</v>
      </c>
      <c r="F344" s="3">
        <f>+IFERROR(VLOOKUP(A344,'TB Final'!$A$4:$J$497,8,),0)</f>
        <v>11575</v>
      </c>
      <c r="G344" s="12">
        <f t="shared" si="15"/>
        <v>0</v>
      </c>
      <c r="H344" s="12">
        <f t="shared" si="16"/>
        <v>0</v>
      </c>
      <c r="I344" s="12">
        <f t="shared" si="17"/>
        <v>0</v>
      </c>
    </row>
    <row r="345" spans="1:9">
      <c r="A345" s="5" t="s">
        <v>478</v>
      </c>
      <c r="B345" s="1017">
        <v>6640</v>
      </c>
      <c r="C345" s="1016"/>
      <c r="E345" s="3">
        <f>+IFERROR(VLOOKUP(A345,'TB Final'!$A$4:$J$497,5,),0)</f>
        <v>6640</v>
      </c>
      <c r="F345" s="3">
        <f>+IFERROR(VLOOKUP(A345,'TB Final'!$A$4:$J$497,8,),0)</f>
        <v>0</v>
      </c>
      <c r="G345" s="12">
        <f t="shared" si="15"/>
        <v>0</v>
      </c>
      <c r="H345" s="12">
        <f t="shared" si="16"/>
        <v>0</v>
      </c>
      <c r="I345" s="12">
        <f t="shared" si="17"/>
        <v>0</v>
      </c>
    </row>
    <row r="346" spans="1:9">
      <c r="A346" s="5" t="s">
        <v>633</v>
      </c>
      <c r="B346" s="1016"/>
      <c r="C346" s="1017">
        <v>78274677.280000001</v>
      </c>
      <c r="E346" s="3">
        <f>+IFERROR(VLOOKUP(A346,'TB Final'!$A$4:$J$497,5,),0)</f>
        <v>0</v>
      </c>
      <c r="F346" s="3">
        <f>+IFERROR(VLOOKUP(A346,'TB Final'!$A$4:$J$497,8,),0)</f>
        <v>78274677.280000001</v>
      </c>
      <c r="G346" s="12">
        <f t="shared" si="15"/>
        <v>0</v>
      </c>
      <c r="H346" s="12">
        <f t="shared" si="16"/>
        <v>0</v>
      </c>
      <c r="I346" s="12">
        <f t="shared" si="17"/>
        <v>0</v>
      </c>
    </row>
    <row r="347" spans="1:9">
      <c r="A347" s="5" t="s">
        <v>394</v>
      </c>
      <c r="B347" s="1017">
        <v>2485856</v>
      </c>
      <c r="C347" s="1016"/>
      <c r="E347" s="3">
        <f>+IFERROR(VLOOKUP(A347,'TB Final'!$A$4:$J$497,5,),0)</f>
        <v>2485856</v>
      </c>
      <c r="F347" s="3">
        <f>+IFERROR(VLOOKUP(A347,'TB Final'!$A$4:$J$497,8,),0)</f>
        <v>0</v>
      </c>
      <c r="G347" s="12">
        <f t="shared" si="15"/>
        <v>0</v>
      </c>
      <c r="H347" s="12">
        <f t="shared" si="16"/>
        <v>0</v>
      </c>
      <c r="I347" s="12">
        <f t="shared" si="17"/>
        <v>0</v>
      </c>
    </row>
    <row r="348" spans="1:9">
      <c r="A348" s="5" t="s">
        <v>634</v>
      </c>
      <c r="B348" s="1017">
        <v>269184.78000000003</v>
      </c>
      <c r="C348" s="1016"/>
      <c r="E348" s="3">
        <f>+IFERROR(VLOOKUP(A348,'TB Final'!$A$4:$J$497,5,),0)</f>
        <v>269184.78000000003</v>
      </c>
      <c r="F348" s="3">
        <f>+IFERROR(VLOOKUP(A348,'TB Final'!$A$4:$J$497,8,),0)</f>
        <v>0</v>
      </c>
      <c r="G348" s="12">
        <f t="shared" si="15"/>
        <v>0</v>
      </c>
      <c r="H348" s="12">
        <f t="shared" si="16"/>
        <v>0</v>
      </c>
      <c r="I348" s="12">
        <f t="shared" si="17"/>
        <v>0</v>
      </c>
    </row>
    <row r="349" spans="1:9">
      <c r="A349" s="5" t="s">
        <v>397</v>
      </c>
      <c r="B349" s="1017">
        <v>275000</v>
      </c>
      <c r="C349" s="1016"/>
      <c r="E349" s="3">
        <f>+IFERROR(VLOOKUP(A349,'TB Final'!$A$4:$J$497,5,),0)</f>
        <v>275000</v>
      </c>
      <c r="F349" s="3">
        <f>+IFERROR(VLOOKUP(A349,'TB Final'!$A$4:$J$497,8,),0)</f>
        <v>0</v>
      </c>
      <c r="G349" s="12">
        <f t="shared" si="15"/>
        <v>0</v>
      </c>
      <c r="H349" s="12">
        <f t="shared" si="16"/>
        <v>0</v>
      </c>
      <c r="I349" s="12">
        <f t="shared" si="17"/>
        <v>0</v>
      </c>
    </row>
    <row r="350" spans="1:9">
      <c r="A350" s="5" t="s">
        <v>399</v>
      </c>
      <c r="B350" s="1017">
        <v>22500</v>
      </c>
      <c r="C350" s="1016"/>
      <c r="E350" s="3">
        <f>+IFERROR(VLOOKUP(A350,'TB Final'!$A$4:$J$497,5,),0)</f>
        <v>22500</v>
      </c>
      <c r="F350" s="3">
        <f>+IFERROR(VLOOKUP(A350,'TB Final'!$A$4:$J$497,8,),0)</f>
        <v>0</v>
      </c>
      <c r="G350" s="12">
        <f t="shared" si="15"/>
        <v>0</v>
      </c>
      <c r="H350" s="12">
        <f t="shared" si="16"/>
        <v>0</v>
      </c>
      <c r="I350" s="12">
        <f t="shared" si="17"/>
        <v>0</v>
      </c>
    </row>
    <row r="351" spans="1:9">
      <c r="A351" s="5" t="s">
        <v>635</v>
      </c>
      <c r="B351" s="1017">
        <v>27000</v>
      </c>
      <c r="C351" s="1016"/>
      <c r="E351" s="3">
        <f>+IFERROR(VLOOKUP(A351,'TB Final'!$A$4:$J$497,5,),0)</f>
        <v>27000</v>
      </c>
      <c r="F351" s="3">
        <f>+IFERROR(VLOOKUP(A351,'TB Final'!$A$4:$J$497,8,),0)</f>
        <v>0</v>
      </c>
      <c r="G351" s="12">
        <f t="shared" si="15"/>
        <v>0</v>
      </c>
      <c r="H351" s="12">
        <f t="shared" si="16"/>
        <v>0</v>
      </c>
      <c r="I351" s="12">
        <f t="shared" si="17"/>
        <v>0</v>
      </c>
    </row>
    <row r="352" spans="1:9">
      <c r="A352" s="5" t="s">
        <v>636</v>
      </c>
      <c r="B352" s="1016"/>
      <c r="C352" s="1017">
        <v>101563</v>
      </c>
      <c r="E352" s="3">
        <f>+IFERROR(VLOOKUP(A352,'TB Final'!$A$4:$J$497,5,),0)</f>
        <v>0</v>
      </c>
      <c r="F352" s="3">
        <f>+IFERROR(VLOOKUP(A352,'TB Final'!$A$4:$J$497,8,),0)</f>
        <v>101563</v>
      </c>
      <c r="G352" s="12">
        <f t="shared" si="15"/>
        <v>0</v>
      </c>
      <c r="H352" s="12">
        <f t="shared" si="16"/>
        <v>0</v>
      </c>
      <c r="I352" s="12">
        <f t="shared" si="17"/>
        <v>0</v>
      </c>
    </row>
    <row r="353" spans="1:9">
      <c r="A353" s="5" t="s">
        <v>637</v>
      </c>
      <c r="B353" s="1016"/>
      <c r="C353" s="1017">
        <v>5.61</v>
      </c>
      <c r="E353" s="3">
        <f>+IFERROR(VLOOKUP(A353,'TB Final'!$A$4:$J$497,5,),0)</f>
        <v>0</v>
      </c>
      <c r="F353" s="3">
        <f>+IFERROR(VLOOKUP(A353,'TB Final'!$A$4:$J$497,8,),0)</f>
        <v>5.61</v>
      </c>
      <c r="G353" s="12">
        <f t="shared" si="15"/>
        <v>0</v>
      </c>
      <c r="H353" s="12">
        <f t="shared" si="16"/>
        <v>0</v>
      </c>
      <c r="I353" s="12">
        <f t="shared" si="17"/>
        <v>0</v>
      </c>
    </row>
    <row r="354" spans="1:9">
      <c r="A354" s="5" t="s">
        <v>404</v>
      </c>
      <c r="B354" s="1017">
        <v>67000</v>
      </c>
      <c r="C354" s="1016"/>
      <c r="E354" s="3">
        <f>+IFERROR(VLOOKUP(A354,'TB Final'!$A$4:$J$497,5,),0)</f>
        <v>67000</v>
      </c>
      <c r="F354" s="3">
        <f>+IFERROR(VLOOKUP(A354,'TB Final'!$A$4:$J$497,8,),0)</f>
        <v>0</v>
      </c>
      <c r="G354" s="12">
        <f t="shared" si="15"/>
        <v>0</v>
      </c>
      <c r="H354" s="12">
        <f t="shared" si="16"/>
        <v>0</v>
      </c>
      <c r="I354" s="12">
        <f t="shared" si="17"/>
        <v>0</v>
      </c>
    </row>
    <row r="355" spans="1:9">
      <c r="A355" s="5" t="s">
        <v>638</v>
      </c>
      <c r="B355" s="1017">
        <v>4200</v>
      </c>
      <c r="C355" s="1016"/>
      <c r="E355" s="3">
        <f>+IFERROR(VLOOKUP(A355,'TB Final'!$A$4:$J$497,5,),0)</f>
        <v>4200</v>
      </c>
      <c r="F355" s="3">
        <f>+IFERROR(VLOOKUP(A355,'TB Final'!$A$4:$J$497,8,),0)</f>
        <v>0</v>
      </c>
      <c r="G355" s="12">
        <f t="shared" si="15"/>
        <v>0</v>
      </c>
      <c r="H355" s="12">
        <f t="shared" si="16"/>
        <v>0</v>
      </c>
      <c r="I355" s="12">
        <f t="shared" si="17"/>
        <v>0</v>
      </c>
    </row>
    <row r="356" spans="1:9">
      <c r="A356" s="5" t="s">
        <v>405</v>
      </c>
      <c r="B356" s="1016"/>
      <c r="C356" s="1017">
        <v>830720</v>
      </c>
      <c r="E356" s="3">
        <f>+IFERROR(VLOOKUP(A356,'TB Final'!$A$4:$J$497,5,),0)</f>
        <v>0</v>
      </c>
      <c r="F356" s="3">
        <f>+IFERROR(VLOOKUP(A356,'TB Final'!$A$4:$J$497,8,),0)</f>
        <v>830720</v>
      </c>
      <c r="G356" s="12">
        <f t="shared" si="15"/>
        <v>0</v>
      </c>
      <c r="H356" s="12">
        <f t="shared" si="16"/>
        <v>0</v>
      </c>
      <c r="I356" s="12">
        <f t="shared" si="17"/>
        <v>0</v>
      </c>
    </row>
    <row r="357" spans="1:9">
      <c r="A357" s="5" t="s">
        <v>640</v>
      </c>
      <c r="B357" s="1017">
        <v>11611</v>
      </c>
      <c r="C357" s="1016"/>
      <c r="E357" s="3">
        <f>+IFERROR(VLOOKUP(A357,'TB Final'!$A$4:$J$497,5,),0)</f>
        <v>11611</v>
      </c>
      <c r="F357" s="3">
        <f>+IFERROR(VLOOKUP(A357,'TB Final'!$A$4:$J$497,8,),0)</f>
        <v>0</v>
      </c>
      <c r="G357" s="12">
        <f t="shared" si="15"/>
        <v>0</v>
      </c>
      <c r="H357" s="12">
        <f t="shared" si="16"/>
        <v>0</v>
      </c>
      <c r="I357" s="12">
        <f t="shared" si="17"/>
        <v>0</v>
      </c>
    </row>
    <row r="358" spans="1:9">
      <c r="A358" s="5" t="s">
        <v>407</v>
      </c>
      <c r="B358" s="1016"/>
      <c r="C358" s="1017">
        <v>9325.82</v>
      </c>
      <c r="E358" s="3">
        <f>+IFERROR(VLOOKUP(A358,'TB Final'!$A$4:$J$497,5,),0)</f>
        <v>0</v>
      </c>
      <c r="F358" s="3">
        <f>+IFERROR(VLOOKUP(A358,'TB Final'!$A$4:$J$497,8,),0)</f>
        <v>9325.82</v>
      </c>
      <c r="G358" s="12">
        <f t="shared" si="15"/>
        <v>0</v>
      </c>
      <c r="H358" s="12">
        <f t="shared" si="16"/>
        <v>0</v>
      </c>
      <c r="I358" s="12">
        <f t="shared" si="17"/>
        <v>0</v>
      </c>
    </row>
    <row r="359" spans="1:9">
      <c r="A359" s="5" t="s">
        <v>482</v>
      </c>
      <c r="B359" s="1017">
        <v>24886</v>
      </c>
      <c r="C359" s="1016"/>
      <c r="E359" s="3">
        <f>+IFERROR(VLOOKUP(A359,'TB Final'!$A$4:$J$497,5,),0)</f>
        <v>24886</v>
      </c>
      <c r="F359" s="3">
        <f>+IFERROR(VLOOKUP(A359,'TB Final'!$A$4:$J$497,8,),0)</f>
        <v>0</v>
      </c>
      <c r="G359" s="12">
        <f t="shared" si="15"/>
        <v>0</v>
      </c>
      <c r="H359" s="12">
        <f t="shared" si="16"/>
        <v>0</v>
      </c>
      <c r="I359" s="12">
        <f t="shared" si="17"/>
        <v>0</v>
      </c>
    </row>
    <row r="360" spans="1:9">
      <c r="A360" s="5" t="s">
        <v>641</v>
      </c>
      <c r="B360" s="1017">
        <v>15998</v>
      </c>
      <c r="C360" s="1016"/>
      <c r="E360" s="3">
        <f>+IFERROR(VLOOKUP(A360,'TB Final'!$A$4:$J$497,5,),0)</f>
        <v>15998</v>
      </c>
      <c r="F360" s="3">
        <f>+IFERROR(VLOOKUP(A360,'TB Final'!$A$4:$J$497,8,),0)</f>
        <v>0</v>
      </c>
      <c r="G360" s="12">
        <f t="shared" si="15"/>
        <v>0</v>
      </c>
      <c r="H360" s="12">
        <f t="shared" si="16"/>
        <v>0</v>
      </c>
      <c r="I360" s="12">
        <f t="shared" si="17"/>
        <v>0</v>
      </c>
    </row>
    <row r="361" spans="1:9">
      <c r="A361" s="5" t="s">
        <v>409</v>
      </c>
      <c r="B361" s="1016"/>
      <c r="C361" s="1017">
        <v>2555</v>
      </c>
      <c r="E361" s="3">
        <f>+IFERROR(VLOOKUP(A361,'TB Final'!$A$4:$J$497,5,),0)</f>
        <v>0</v>
      </c>
      <c r="F361" s="3">
        <f>+IFERROR(VLOOKUP(A361,'TB Final'!$A$4:$J$497,8,),0)</f>
        <v>2555</v>
      </c>
      <c r="G361" s="12">
        <f t="shared" si="15"/>
        <v>0</v>
      </c>
      <c r="H361" s="12">
        <f t="shared" si="16"/>
        <v>0</v>
      </c>
      <c r="I361" s="12">
        <f t="shared" si="17"/>
        <v>0</v>
      </c>
    </row>
    <row r="362" spans="1:9">
      <c r="A362" s="5" t="s">
        <v>643</v>
      </c>
      <c r="B362" s="1016"/>
      <c r="C362" s="1017">
        <v>61052.04</v>
      </c>
      <c r="E362" s="3">
        <f>+IFERROR(VLOOKUP(A362,'TB Final'!$A$4:$J$497,5,),0)</f>
        <v>0</v>
      </c>
      <c r="F362" s="3">
        <f>+IFERROR(VLOOKUP(A362,'TB Final'!$A$4:$J$497,8,),0)</f>
        <v>61052.04</v>
      </c>
      <c r="G362" s="12">
        <f t="shared" si="15"/>
        <v>0</v>
      </c>
      <c r="H362" s="12">
        <f t="shared" si="16"/>
        <v>0</v>
      </c>
      <c r="I362" s="12">
        <f t="shared" si="17"/>
        <v>0</v>
      </c>
    </row>
    <row r="363" spans="1:9">
      <c r="A363" s="5" t="s">
        <v>644</v>
      </c>
      <c r="B363" s="1016"/>
      <c r="C363" s="1017">
        <v>60934</v>
      </c>
      <c r="E363" s="3">
        <f>+IFERROR(VLOOKUP(A363,'TB Final'!$A$4:$J$497,5,),0)</f>
        <v>0</v>
      </c>
      <c r="F363" s="3">
        <f>+IFERROR(VLOOKUP(A363,'TB Final'!$A$4:$J$497,8,),0)</f>
        <v>60934</v>
      </c>
      <c r="G363" s="12">
        <f t="shared" si="15"/>
        <v>0</v>
      </c>
      <c r="H363" s="12">
        <f t="shared" si="16"/>
        <v>0</v>
      </c>
      <c r="I363" s="12">
        <f t="shared" si="17"/>
        <v>0</v>
      </c>
    </row>
    <row r="364" spans="1:9">
      <c r="A364" s="5" t="s">
        <v>645</v>
      </c>
      <c r="B364" s="1016"/>
      <c r="C364" s="1017">
        <v>5250</v>
      </c>
      <c r="E364" s="3">
        <f>+IFERROR(VLOOKUP(A364,'TB Final'!$A$4:$J$497,5,),0)</f>
        <v>0</v>
      </c>
      <c r="F364" s="3">
        <f>+IFERROR(VLOOKUP(A364,'TB Final'!$A$4:$J$497,8,),0)</f>
        <v>5250</v>
      </c>
      <c r="G364" s="12">
        <f t="shared" si="15"/>
        <v>0</v>
      </c>
      <c r="H364" s="12">
        <f t="shared" si="16"/>
        <v>0</v>
      </c>
      <c r="I364" s="12">
        <f t="shared" si="17"/>
        <v>0</v>
      </c>
    </row>
    <row r="365" spans="1:9">
      <c r="A365" s="5" t="s">
        <v>646</v>
      </c>
      <c r="B365" s="1016"/>
      <c r="C365" s="1017">
        <v>141960</v>
      </c>
      <c r="E365" s="3">
        <f>+IFERROR(VLOOKUP(A365,'TB Final'!$A$4:$J$497,5,),0)</f>
        <v>0</v>
      </c>
      <c r="F365" s="3">
        <f>+IFERROR(VLOOKUP(A365,'TB Final'!$A$4:$J$497,8,),0)</f>
        <v>141960</v>
      </c>
      <c r="G365" s="12">
        <f t="shared" si="15"/>
        <v>0</v>
      </c>
      <c r="H365" s="12">
        <f t="shared" si="16"/>
        <v>0</v>
      </c>
      <c r="I365" s="12">
        <f t="shared" si="17"/>
        <v>0</v>
      </c>
    </row>
    <row r="366" spans="1:9">
      <c r="A366" s="5" t="s">
        <v>483</v>
      </c>
      <c r="B366" s="1016"/>
      <c r="C366" s="1017">
        <v>49527</v>
      </c>
      <c r="E366" s="3">
        <f>+IFERROR(VLOOKUP(A366,'TB Final'!$A$4:$J$497,5,),0)</f>
        <v>0</v>
      </c>
      <c r="F366" s="3">
        <f>+IFERROR(VLOOKUP(A366,'TB Final'!$A$4:$J$497,8,),0)</f>
        <v>49527</v>
      </c>
      <c r="G366" s="12">
        <f t="shared" si="15"/>
        <v>0</v>
      </c>
      <c r="H366" s="12">
        <f t="shared" si="16"/>
        <v>0</v>
      </c>
      <c r="I366" s="12">
        <f t="shared" si="17"/>
        <v>0</v>
      </c>
    </row>
    <row r="367" spans="1:9">
      <c r="A367" s="5" t="s">
        <v>414</v>
      </c>
      <c r="B367" s="1016"/>
      <c r="C367" s="1017">
        <v>61380</v>
      </c>
      <c r="E367" s="3">
        <f>+IFERROR(VLOOKUP(A367,'TB Final'!$A$4:$J$497,5,),0)</f>
        <v>0</v>
      </c>
      <c r="F367" s="3">
        <f>+IFERROR(VLOOKUP(A367,'TB Final'!$A$4:$J$497,8,),0)</f>
        <v>61380</v>
      </c>
      <c r="G367" s="12">
        <f t="shared" si="15"/>
        <v>0</v>
      </c>
      <c r="H367" s="12">
        <f t="shared" si="16"/>
        <v>0</v>
      </c>
      <c r="I367" s="12">
        <f t="shared" si="17"/>
        <v>0</v>
      </c>
    </row>
    <row r="368" spans="1:9">
      <c r="A368" s="5" t="s">
        <v>647</v>
      </c>
      <c r="B368" s="1016"/>
      <c r="C368" s="1017">
        <v>5000</v>
      </c>
      <c r="E368" s="3">
        <f>+IFERROR(VLOOKUP(A368,'TB Final'!$A$4:$J$497,5,),0)</f>
        <v>0</v>
      </c>
      <c r="F368" s="3">
        <f>+IFERROR(VLOOKUP(A368,'TB Final'!$A$4:$J$497,8,),0)</f>
        <v>5000</v>
      </c>
      <c r="G368" s="12">
        <f t="shared" si="15"/>
        <v>0</v>
      </c>
      <c r="H368" s="12">
        <f t="shared" si="16"/>
        <v>0</v>
      </c>
      <c r="I368" s="12">
        <f t="shared" si="17"/>
        <v>0</v>
      </c>
    </row>
    <row r="369" spans="1:9">
      <c r="A369" s="5" t="s">
        <v>413</v>
      </c>
      <c r="B369" s="1016"/>
      <c r="C369" s="1017">
        <v>27071</v>
      </c>
      <c r="E369" s="3">
        <f>+IFERROR(VLOOKUP(A369,'TB Final'!$A$4:$J$497,5,),0)</f>
        <v>0</v>
      </c>
      <c r="F369" s="3">
        <f>+IFERROR(VLOOKUP(A369,'TB Final'!$A$4:$J$497,8,),0)</f>
        <v>27071</v>
      </c>
      <c r="G369" s="12">
        <f t="shared" si="15"/>
        <v>0</v>
      </c>
      <c r="H369" s="12">
        <f t="shared" si="16"/>
        <v>0</v>
      </c>
      <c r="I369" s="12">
        <f t="shared" si="17"/>
        <v>0</v>
      </c>
    </row>
    <row r="370" spans="1:9">
      <c r="A370" s="5" t="s">
        <v>648</v>
      </c>
      <c r="B370" s="1017">
        <v>933217.36</v>
      </c>
      <c r="C370" s="1016"/>
      <c r="E370" s="3">
        <f>+IFERROR(VLOOKUP(A370,'TB Final'!$A$4:$J$497,5,),0)</f>
        <v>933217.36</v>
      </c>
      <c r="F370" s="3">
        <f>+IFERROR(VLOOKUP(A370,'TB Final'!$A$4:$J$497,8,),0)</f>
        <v>0</v>
      </c>
      <c r="G370" s="12">
        <f t="shared" si="15"/>
        <v>0</v>
      </c>
      <c r="H370" s="12">
        <f t="shared" si="16"/>
        <v>0</v>
      </c>
      <c r="I370" s="12">
        <f t="shared" si="17"/>
        <v>0</v>
      </c>
    </row>
    <row r="371" spans="1:9">
      <c r="A371" s="5" t="s">
        <v>649</v>
      </c>
      <c r="B371" s="1017">
        <v>67429</v>
      </c>
      <c r="C371" s="1016"/>
      <c r="E371" s="3">
        <f>+IFERROR(VLOOKUP(A371,'TB Final'!$A$4:$J$497,5,),0)</f>
        <v>67429</v>
      </c>
      <c r="F371" s="3">
        <f>+IFERROR(VLOOKUP(A371,'TB Final'!$A$4:$J$497,8,),0)</f>
        <v>0</v>
      </c>
      <c r="G371" s="12">
        <f t="shared" si="15"/>
        <v>0</v>
      </c>
      <c r="H371" s="12">
        <f t="shared" si="16"/>
        <v>0</v>
      </c>
      <c r="I371" s="12">
        <f t="shared" si="17"/>
        <v>0</v>
      </c>
    </row>
    <row r="372" spans="1:9">
      <c r="A372" s="5" t="s">
        <v>418</v>
      </c>
      <c r="B372" s="1017">
        <v>123242</v>
      </c>
      <c r="C372" s="1016"/>
      <c r="E372" s="3">
        <f>+IFERROR(VLOOKUP(A372,'TB Final'!$A$4:$J$497,5,),0)</f>
        <v>123242</v>
      </c>
      <c r="F372" s="3">
        <f>+IFERROR(VLOOKUP(A372,'TB Final'!$A$4:$J$497,8,),0)</f>
        <v>0</v>
      </c>
      <c r="G372" s="12">
        <f t="shared" si="15"/>
        <v>0</v>
      </c>
      <c r="H372" s="12">
        <f t="shared" si="16"/>
        <v>0</v>
      </c>
      <c r="I372" s="12">
        <f t="shared" si="17"/>
        <v>0</v>
      </c>
    </row>
    <row r="373" spans="1:9">
      <c r="A373" s="5" t="s">
        <v>650</v>
      </c>
      <c r="B373" s="1017">
        <v>124881.5</v>
      </c>
      <c r="C373" s="1016"/>
      <c r="E373" s="3">
        <f>+IFERROR(VLOOKUP(A373,'TB Final'!$A$4:$J$497,5,),0)</f>
        <v>124881.5</v>
      </c>
      <c r="F373" s="3">
        <f>+IFERROR(VLOOKUP(A373,'TB Final'!$A$4:$J$497,8,),0)</f>
        <v>0</v>
      </c>
      <c r="G373" s="12">
        <f t="shared" si="15"/>
        <v>0</v>
      </c>
      <c r="H373" s="12">
        <f t="shared" si="16"/>
        <v>0</v>
      </c>
      <c r="I373" s="12">
        <f t="shared" si="17"/>
        <v>0</v>
      </c>
    </row>
    <row r="374" spans="1:9">
      <c r="A374" s="5" t="s">
        <v>420</v>
      </c>
      <c r="B374" s="1017">
        <v>447976</v>
      </c>
      <c r="C374" s="1016"/>
      <c r="E374" s="3">
        <f>+IFERROR(VLOOKUP(A374,'TB Final'!$A$4:$J$497,5,),0)</f>
        <v>447976</v>
      </c>
      <c r="F374" s="3">
        <f>+IFERROR(VLOOKUP(A374,'TB Final'!$A$4:$J$497,8,),0)</f>
        <v>0</v>
      </c>
      <c r="G374" s="12">
        <f t="shared" si="15"/>
        <v>0</v>
      </c>
      <c r="H374" s="12">
        <f t="shared" si="16"/>
        <v>0</v>
      </c>
      <c r="I374" s="12">
        <f t="shared" si="17"/>
        <v>0</v>
      </c>
    </row>
    <row r="375" spans="1:9">
      <c r="A375" s="5" t="s">
        <v>651</v>
      </c>
      <c r="B375" s="1016"/>
      <c r="C375" s="1017">
        <v>65000</v>
      </c>
      <c r="E375" s="3">
        <f>+IFERROR(VLOOKUP(A375,'TB Final'!$A$4:$J$497,5,),0)</f>
        <v>0</v>
      </c>
      <c r="F375" s="3">
        <f>+IFERROR(VLOOKUP(A375,'TB Final'!$A$4:$J$497,8,),0)</f>
        <v>65000</v>
      </c>
      <c r="G375" s="12">
        <f t="shared" si="15"/>
        <v>0</v>
      </c>
      <c r="H375" s="12">
        <f t="shared" si="16"/>
        <v>0</v>
      </c>
      <c r="I375" s="12">
        <f t="shared" si="17"/>
        <v>0</v>
      </c>
    </row>
    <row r="376" spans="1:9">
      <c r="A376" s="5" t="s">
        <v>652</v>
      </c>
      <c r="B376" s="1017">
        <v>204000</v>
      </c>
      <c r="C376" s="1016"/>
      <c r="E376" s="3">
        <f>+IFERROR(VLOOKUP(A376,'TB Final'!$A$4:$J$497,5,),0)</f>
        <v>204000</v>
      </c>
      <c r="F376" s="3">
        <f>+IFERROR(VLOOKUP(A376,'TB Final'!$A$4:$J$497,8,),0)</f>
        <v>0</v>
      </c>
      <c r="G376" s="12">
        <f t="shared" si="15"/>
        <v>0</v>
      </c>
      <c r="H376" s="12">
        <f t="shared" si="16"/>
        <v>0</v>
      </c>
      <c r="I376" s="12">
        <f t="shared" si="17"/>
        <v>0</v>
      </c>
    </row>
    <row r="377" spans="1:9">
      <c r="A377" s="5" t="s">
        <v>653</v>
      </c>
      <c r="B377" s="1016"/>
      <c r="C377" s="1017">
        <v>80955</v>
      </c>
      <c r="E377" s="3">
        <f>+IFERROR(VLOOKUP(A377,'TB Final'!$A$4:$J$497,5,),0)</f>
        <v>0</v>
      </c>
      <c r="F377" s="3">
        <f>+IFERROR(VLOOKUP(A377,'TB Final'!$A$4:$J$497,8,),0)</f>
        <v>80955</v>
      </c>
      <c r="G377" s="12">
        <f t="shared" si="15"/>
        <v>0</v>
      </c>
      <c r="H377" s="12">
        <f t="shared" si="16"/>
        <v>0</v>
      </c>
      <c r="I377" s="12">
        <f t="shared" si="17"/>
        <v>0</v>
      </c>
    </row>
    <row r="378" spans="1:9">
      <c r="A378" s="5" t="s">
        <v>654</v>
      </c>
      <c r="B378" s="1016"/>
      <c r="C378" s="1017">
        <v>12980</v>
      </c>
      <c r="E378" s="3">
        <f>+IFERROR(VLOOKUP(A378,'TB Final'!$A$4:$J$497,5,),0)</f>
        <v>0</v>
      </c>
      <c r="F378" s="3">
        <f>+IFERROR(VLOOKUP(A378,'TB Final'!$A$4:$J$497,8,),0)</f>
        <v>12980</v>
      </c>
      <c r="G378" s="12">
        <f t="shared" si="15"/>
        <v>0</v>
      </c>
      <c r="H378" s="12">
        <f t="shared" si="16"/>
        <v>0</v>
      </c>
      <c r="I378" s="12">
        <f t="shared" si="17"/>
        <v>0</v>
      </c>
    </row>
    <row r="379" spans="1:9">
      <c r="A379" s="5" t="s">
        <v>655</v>
      </c>
      <c r="B379" s="1017">
        <v>193000</v>
      </c>
      <c r="C379" s="1016"/>
      <c r="E379" s="3">
        <f>+IFERROR(VLOOKUP(A379,'TB Final'!$A$4:$J$497,5,),0)</f>
        <v>193000</v>
      </c>
      <c r="F379" s="3">
        <f>+IFERROR(VLOOKUP(A379,'TB Final'!$A$4:$J$497,8,),0)</f>
        <v>0</v>
      </c>
      <c r="G379" s="12">
        <f t="shared" si="15"/>
        <v>0</v>
      </c>
      <c r="H379" s="12">
        <f t="shared" si="16"/>
        <v>0</v>
      </c>
      <c r="I379" s="12">
        <f t="shared" si="17"/>
        <v>0</v>
      </c>
    </row>
    <row r="380" spans="1:9">
      <c r="A380" s="5" t="s">
        <v>656</v>
      </c>
      <c r="B380" s="1017">
        <v>487412</v>
      </c>
      <c r="C380" s="1016"/>
      <c r="E380" s="3">
        <f>+IFERROR(VLOOKUP(A380,'TB Final'!$A$4:$J$497,5,),0)</f>
        <v>487412</v>
      </c>
      <c r="F380" s="3">
        <f>+IFERROR(VLOOKUP(A380,'TB Final'!$A$4:$J$497,8,),0)</f>
        <v>0</v>
      </c>
      <c r="G380" s="12">
        <f t="shared" si="15"/>
        <v>0</v>
      </c>
      <c r="H380" s="12">
        <f t="shared" si="16"/>
        <v>0</v>
      </c>
      <c r="I380" s="12">
        <f t="shared" si="17"/>
        <v>0</v>
      </c>
    </row>
    <row r="381" spans="1:9">
      <c r="A381" s="5" t="s">
        <v>490</v>
      </c>
      <c r="B381" s="1016"/>
      <c r="C381" s="1017">
        <v>55080</v>
      </c>
      <c r="E381" s="3">
        <f>+IFERROR(VLOOKUP(A381,'TB Final'!$A$4:$J$497,5,),0)</f>
        <v>0</v>
      </c>
      <c r="F381" s="3">
        <f>+IFERROR(VLOOKUP(A381,'TB Final'!$A$4:$J$497,8,),0)</f>
        <v>55080</v>
      </c>
      <c r="G381" s="12">
        <f t="shared" si="15"/>
        <v>0</v>
      </c>
      <c r="H381" s="12">
        <f t="shared" si="16"/>
        <v>0</v>
      </c>
      <c r="I381" s="12">
        <f t="shared" si="17"/>
        <v>0</v>
      </c>
    </row>
    <row r="382" spans="1:9">
      <c r="A382" s="5" t="s">
        <v>491</v>
      </c>
      <c r="B382" s="1016"/>
      <c r="C382" s="1017">
        <v>90199</v>
      </c>
      <c r="E382" s="3">
        <f>+IFERROR(VLOOKUP(A382,'TB Final'!$A$4:$J$497,5,),0)</f>
        <v>0</v>
      </c>
      <c r="F382" s="3">
        <f>+IFERROR(VLOOKUP(A382,'TB Final'!$A$4:$J$497,8,),0)</f>
        <v>90199</v>
      </c>
      <c r="G382" s="12">
        <f t="shared" si="15"/>
        <v>0</v>
      </c>
      <c r="H382" s="12">
        <f t="shared" si="16"/>
        <v>0</v>
      </c>
      <c r="I382" s="12">
        <f t="shared" si="17"/>
        <v>0</v>
      </c>
    </row>
    <row r="383" spans="1:9">
      <c r="A383" s="5" t="s">
        <v>501</v>
      </c>
      <c r="B383" s="1017">
        <v>2991111</v>
      </c>
      <c r="C383" s="1016"/>
      <c r="E383" s="3">
        <f>+IFERROR(VLOOKUP(A383,'TB Final'!$A$4:$J$497,5,),0)</f>
        <v>2991111</v>
      </c>
      <c r="F383" s="3">
        <f>+IFERROR(VLOOKUP(A383,'TB Final'!$A$4:$J$497,8,),0)</f>
        <v>0</v>
      </c>
      <c r="G383" s="12">
        <f t="shared" si="15"/>
        <v>0</v>
      </c>
      <c r="H383" s="12">
        <f t="shared" si="16"/>
        <v>0</v>
      </c>
      <c r="I383" s="12">
        <f t="shared" si="17"/>
        <v>0</v>
      </c>
    </row>
    <row r="384" spans="1:9">
      <c r="A384" s="5" t="s">
        <v>657</v>
      </c>
      <c r="B384" s="1017">
        <v>676300</v>
      </c>
      <c r="C384" s="1016"/>
      <c r="E384" s="3">
        <f>+IFERROR(VLOOKUP(A384,'TB Final'!$A$4:$J$497,5,),0)</f>
        <v>676300</v>
      </c>
      <c r="F384" s="3">
        <f>+IFERROR(VLOOKUP(A384,'TB Final'!$A$4:$J$497,8,),0)</f>
        <v>0</v>
      </c>
      <c r="G384" s="12">
        <f t="shared" si="15"/>
        <v>0</v>
      </c>
      <c r="H384" s="12">
        <f t="shared" si="16"/>
        <v>0</v>
      </c>
      <c r="I384" s="12">
        <f t="shared" si="17"/>
        <v>0</v>
      </c>
    </row>
    <row r="385" spans="1:9">
      <c r="A385" s="5" t="s">
        <v>504</v>
      </c>
      <c r="B385" s="1017">
        <v>319936.52</v>
      </c>
      <c r="C385" s="1016"/>
      <c r="E385" s="3">
        <f>+IFERROR(VLOOKUP(A385,'TB Final'!$A$4:$J$497,5,),0)</f>
        <v>319936.52</v>
      </c>
      <c r="F385" s="3">
        <f>+IFERROR(VLOOKUP(A385,'TB Final'!$A$4:$J$497,8,),0)</f>
        <v>0</v>
      </c>
      <c r="G385" s="12">
        <f t="shared" si="15"/>
        <v>0</v>
      </c>
      <c r="H385" s="12">
        <f t="shared" si="16"/>
        <v>0</v>
      </c>
      <c r="I385" s="12">
        <f t="shared" si="17"/>
        <v>0</v>
      </c>
    </row>
    <row r="386" spans="1:9">
      <c r="A386" s="5" t="s">
        <v>505</v>
      </c>
      <c r="B386" s="1016"/>
      <c r="C386" s="1017">
        <v>3500894</v>
      </c>
      <c r="E386" s="3">
        <f>+IFERROR(VLOOKUP(A386,'TB Final'!$A$4:$J$497,5,),0)</f>
        <v>0</v>
      </c>
      <c r="F386" s="3">
        <f>+IFERROR(VLOOKUP(A386,'TB Final'!$A$4:$J$497,8,),0)</f>
        <v>3500894</v>
      </c>
      <c r="G386" s="12">
        <f t="shared" si="15"/>
        <v>0</v>
      </c>
      <c r="H386" s="12">
        <f t="shared" si="16"/>
        <v>0</v>
      </c>
      <c r="I386" s="12">
        <f t="shared" si="17"/>
        <v>0</v>
      </c>
    </row>
    <row r="387" spans="1:9">
      <c r="A387" s="5" t="s">
        <v>485</v>
      </c>
      <c r="B387" s="1016"/>
      <c r="C387" s="1017">
        <v>163013</v>
      </c>
      <c r="E387" s="3">
        <f>+IFERROR(VLOOKUP(A387,'TB Final'!$A$4:$J$497,5,),0)</f>
        <v>0</v>
      </c>
      <c r="F387" s="3">
        <f>+IFERROR(VLOOKUP(A387,'TB Final'!$A$4:$J$497,8,),0)</f>
        <v>163013</v>
      </c>
      <c r="G387" s="12">
        <f t="shared" si="15"/>
        <v>0</v>
      </c>
      <c r="H387" s="12">
        <f t="shared" si="16"/>
        <v>0</v>
      </c>
      <c r="I387" s="12">
        <f t="shared" si="17"/>
        <v>0</v>
      </c>
    </row>
    <row r="388" spans="1:9">
      <c r="A388" s="5" t="s">
        <v>658</v>
      </c>
      <c r="B388" s="1017">
        <v>175000</v>
      </c>
      <c r="C388" s="1016"/>
      <c r="E388" s="3">
        <f>+IFERROR(VLOOKUP(A388,'TB Final'!$A$4:$J$497,5,),0)</f>
        <v>175000</v>
      </c>
      <c r="F388" s="3">
        <f>+IFERROR(VLOOKUP(A388,'TB Final'!$A$4:$J$497,8,),0)</f>
        <v>0</v>
      </c>
      <c r="G388" s="12">
        <f t="shared" si="15"/>
        <v>0</v>
      </c>
      <c r="H388" s="12">
        <f t="shared" si="16"/>
        <v>0</v>
      </c>
      <c r="I388" s="12">
        <f t="shared" si="17"/>
        <v>0</v>
      </c>
    </row>
    <row r="389" spans="1:9">
      <c r="A389" s="5" t="s">
        <v>506</v>
      </c>
      <c r="B389" s="1016"/>
      <c r="C389" s="1017">
        <v>750593</v>
      </c>
      <c r="E389" s="3">
        <f>+IFERROR(VLOOKUP(A389,'TB Final'!$A$4:$J$497,5,),0)</f>
        <v>0</v>
      </c>
      <c r="F389" s="3">
        <f>+IFERROR(VLOOKUP(A389,'TB Final'!$A$4:$J$497,8,),0)</f>
        <v>750593</v>
      </c>
      <c r="G389" s="12">
        <f t="shared" si="15"/>
        <v>0</v>
      </c>
      <c r="H389" s="12">
        <f t="shared" si="16"/>
        <v>0</v>
      </c>
      <c r="I389" s="12">
        <f t="shared" si="17"/>
        <v>0</v>
      </c>
    </row>
    <row r="390" spans="1:9">
      <c r="A390" s="5" t="s">
        <v>659</v>
      </c>
      <c r="B390" s="1016"/>
      <c r="C390" s="1017">
        <v>295397</v>
      </c>
      <c r="E390" s="3">
        <f>+IFERROR(VLOOKUP(A390,'TB Final'!$A$4:$J$497,5,),0)</f>
        <v>0</v>
      </c>
      <c r="F390" s="3">
        <f>+IFERROR(VLOOKUP(A390,'TB Final'!$A$4:$J$497,8,),0)</f>
        <v>295397</v>
      </c>
      <c r="G390" s="12">
        <f t="shared" si="15"/>
        <v>0</v>
      </c>
      <c r="H390" s="12">
        <f t="shared" si="16"/>
        <v>0</v>
      </c>
      <c r="I390" s="12">
        <f t="shared" si="17"/>
        <v>0</v>
      </c>
    </row>
    <row r="391" spans="1:9">
      <c r="A391" s="5" t="s">
        <v>660</v>
      </c>
      <c r="B391" s="1016"/>
      <c r="C391" s="1017">
        <v>7500000</v>
      </c>
      <c r="E391" s="3">
        <f>+IFERROR(VLOOKUP(A391,'TB Final'!$A$4:$J$497,5,),0)</f>
        <v>0</v>
      </c>
      <c r="F391" s="3">
        <f>+IFERROR(VLOOKUP(A391,'TB Final'!$A$4:$J$497,8,),0)</f>
        <v>7500000</v>
      </c>
      <c r="G391" s="12">
        <f t="shared" si="15"/>
        <v>0</v>
      </c>
      <c r="H391" s="12">
        <f t="shared" si="16"/>
        <v>0</v>
      </c>
      <c r="I391" s="12">
        <f t="shared" si="17"/>
        <v>0</v>
      </c>
    </row>
    <row r="392" spans="1:9">
      <c r="A392" s="5" t="s">
        <v>661</v>
      </c>
      <c r="B392" s="1016"/>
      <c r="C392" s="1017">
        <v>226800</v>
      </c>
      <c r="E392" s="3">
        <f>+IFERROR(VLOOKUP(A392,'TB Final'!$A$4:$J$497,5,),0)</f>
        <v>0</v>
      </c>
      <c r="F392" s="3">
        <f>+IFERROR(VLOOKUP(A392,'TB Final'!$A$4:$J$497,8,),0)</f>
        <v>226800</v>
      </c>
      <c r="G392" s="12">
        <f t="shared" si="15"/>
        <v>0</v>
      </c>
      <c r="H392" s="12">
        <f t="shared" si="16"/>
        <v>0</v>
      </c>
      <c r="I392" s="12">
        <f t="shared" si="17"/>
        <v>0</v>
      </c>
    </row>
    <row r="393" spans="1:9">
      <c r="A393" s="5" t="s">
        <v>508</v>
      </c>
      <c r="B393" s="1017">
        <v>388251</v>
      </c>
      <c r="C393" s="1016"/>
      <c r="E393" s="3">
        <f>+IFERROR(VLOOKUP(A393,'TB Final'!$A$4:$J$497,5,),0)</f>
        <v>388251</v>
      </c>
      <c r="F393" s="3">
        <f>+IFERROR(VLOOKUP(A393,'TB Final'!$A$4:$J$497,8,),0)</f>
        <v>0</v>
      </c>
      <c r="G393" s="12">
        <f t="shared" si="15"/>
        <v>0</v>
      </c>
      <c r="H393" s="12">
        <f t="shared" si="16"/>
        <v>0</v>
      </c>
      <c r="I393" s="12">
        <f t="shared" si="17"/>
        <v>0</v>
      </c>
    </row>
    <row r="394" spans="1:9">
      <c r="A394" s="5" t="s">
        <v>509</v>
      </c>
      <c r="B394" s="1017">
        <v>4829408</v>
      </c>
      <c r="C394" s="1016"/>
      <c r="E394" s="3">
        <f>+IFERROR(VLOOKUP(A394,'TB Final'!$A$4:$J$497,5,),0)</f>
        <v>4829408</v>
      </c>
      <c r="F394" s="3">
        <f>+IFERROR(VLOOKUP(A394,'TB Final'!$A$4:$J$497,8,),0)</f>
        <v>0</v>
      </c>
      <c r="G394" s="12">
        <f t="shared" si="15"/>
        <v>0</v>
      </c>
      <c r="H394" s="12">
        <f t="shared" si="16"/>
        <v>0</v>
      </c>
      <c r="I394" s="12">
        <f t="shared" si="17"/>
        <v>0</v>
      </c>
    </row>
    <row r="395" spans="1:9">
      <c r="A395" s="5" t="s">
        <v>511</v>
      </c>
      <c r="B395" s="1017">
        <v>501477134.5</v>
      </c>
      <c r="C395" s="1016"/>
      <c r="E395" s="3">
        <f>+IFERROR(VLOOKUP(A395,'TB Final'!$A$4:$J$497,5,),0)</f>
        <v>501477134.5</v>
      </c>
      <c r="F395" s="3">
        <f>+IFERROR(VLOOKUP(A395,'TB Final'!$A$4:$J$497,8,),0)</f>
        <v>0</v>
      </c>
      <c r="G395" s="12">
        <f t="shared" si="15"/>
        <v>0</v>
      </c>
      <c r="H395" s="12">
        <f t="shared" si="16"/>
        <v>0</v>
      </c>
      <c r="I395" s="12">
        <f t="shared" si="17"/>
        <v>0</v>
      </c>
    </row>
    <row r="396" spans="1:9">
      <c r="A396" s="5" t="s">
        <v>513</v>
      </c>
      <c r="B396" s="1017">
        <v>6416446.9100000001</v>
      </c>
      <c r="C396" s="1016"/>
      <c r="E396" s="3">
        <f>+IFERROR(VLOOKUP(A396,'TB Final'!$A$4:$J$497,5,),0)</f>
        <v>6416446.9100000001</v>
      </c>
      <c r="F396" s="3">
        <f>+IFERROR(VLOOKUP(A396,'TB Final'!$A$4:$J$497,8,),0)</f>
        <v>0</v>
      </c>
      <c r="G396" s="12">
        <f t="shared" si="15"/>
        <v>0</v>
      </c>
      <c r="H396" s="12">
        <f t="shared" si="16"/>
        <v>0</v>
      </c>
      <c r="I396" s="12">
        <f t="shared" si="17"/>
        <v>0</v>
      </c>
    </row>
    <row r="397" spans="1:9">
      <c r="A397" s="5" t="s">
        <v>487</v>
      </c>
      <c r="B397" s="1017">
        <v>26642149.920000002</v>
      </c>
      <c r="C397" s="1016"/>
      <c r="E397" s="3">
        <f>+IFERROR(VLOOKUP(A397,'TB Final'!$A$4:$J$497,5,),0)</f>
        <v>26642149.920000002</v>
      </c>
      <c r="F397" s="3">
        <f>+IFERROR(VLOOKUP(A397,'TB Final'!$A$4:$J$497,8,),0)</f>
        <v>0</v>
      </c>
      <c r="G397" s="12">
        <f t="shared" ref="G397:G398" si="18">+B397-E397</f>
        <v>0</v>
      </c>
      <c r="H397" s="12">
        <f t="shared" ref="H397:H398" si="19">+C397-F397</f>
        <v>0</v>
      </c>
      <c r="I397" s="12">
        <f t="shared" ref="I397:I398" si="20">+SUM(G397:H397)</f>
        <v>0</v>
      </c>
    </row>
    <row r="398" spans="1:9">
      <c r="A398" s="5" t="s">
        <v>2765</v>
      </c>
      <c r="B398" s="1017">
        <v>300000</v>
      </c>
      <c r="C398" s="1016"/>
      <c r="E398" s="3">
        <f>+IFERROR(VLOOKUP(A398,'TB Final'!$A$4:$J$497,5,),0)</f>
        <v>300000</v>
      </c>
      <c r="F398" s="3">
        <f>+IFERROR(VLOOKUP(A398,'TB Final'!$A$4:$J$497,8,),0)</f>
        <v>0</v>
      </c>
      <c r="G398" s="12">
        <f t="shared" si="18"/>
        <v>0</v>
      </c>
      <c r="H398" s="12">
        <f t="shared" si="19"/>
        <v>0</v>
      </c>
      <c r="I398" s="12">
        <f t="shared" si="20"/>
        <v>0</v>
      </c>
    </row>
    <row r="399" spans="1:9">
      <c r="A399" s="5" t="s">
        <v>514</v>
      </c>
      <c r="B399" s="1017">
        <v>83731782.780000001</v>
      </c>
      <c r="C399" s="1016"/>
      <c r="E399" s="3">
        <f>+IFERROR(VLOOKUP(A399,'TB Final'!$A$4:$J$497,5,),0)</f>
        <v>83731782.780000001</v>
      </c>
      <c r="F399" s="3">
        <f>+IFERROR(VLOOKUP(A399,'TB Final'!$A$4:$J$497,8,),0)</f>
        <v>0</v>
      </c>
      <c r="G399" s="12">
        <f t="shared" ref="G399:G403" si="21">+B399-E399</f>
        <v>0</v>
      </c>
      <c r="H399" s="12">
        <f t="shared" ref="H399:H403" si="22">+C399-F399</f>
        <v>0</v>
      </c>
      <c r="I399" s="12">
        <f t="shared" ref="I399:I403" si="23">+SUM(G399:H399)</f>
        <v>0</v>
      </c>
    </row>
    <row r="400" spans="1:9">
      <c r="A400" s="5" t="s">
        <v>488</v>
      </c>
      <c r="B400" s="1017">
        <v>17362000</v>
      </c>
      <c r="C400" s="1016"/>
      <c r="E400" s="3">
        <f>+IFERROR(VLOOKUP(A400,'TB Final'!$A$4:$J$497,5,),0)</f>
        <v>17362000</v>
      </c>
      <c r="F400" s="3">
        <f>+IFERROR(VLOOKUP(A400,'TB Final'!$A$4:$J$497,8,),0)</f>
        <v>0</v>
      </c>
      <c r="G400" s="12">
        <f t="shared" si="21"/>
        <v>0</v>
      </c>
      <c r="H400" s="12">
        <f t="shared" si="22"/>
        <v>0</v>
      </c>
      <c r="I400" s="12">
        <f t="shared" si="23"/>
        <v>0</v>
      </c>
    </row>
    <row r="401" spans="1:9">
      <c r="A401" s="5" t="s">
        <v>663</v>
      </c>
      <c r="B401" s="1016"/>
      <c r="C401" s="1017">
        <v>672000</v>
      </c>
      <c r="E401" s="3">
        <f>+IFERROR(VLOOKUP(A401,'TB Final'!$A$4:$J$497,5,),0)</f>
        <v>0</v>
      </c>
      <c r="F401" s="3">
        <f>+IFERROR(VLOOKUP(A401,'TB Final'!$A$4:$J$497,8,),0)</f>
        <v>672000</v>
      </c>
      <c r="G401" s="12">
        <f t="shared" si="21"/>
        <v>0</v>
      </c>
      <c r="H401" s="12">
        <f t="shared" si="22"/>
        <v>0</v>
      </c>
      <c r="I401" s="12">
        <f t="shared" si="23"/>
        <v>0</v>
      </c>
    </row>
    <row r="402" spans="1:9">
      <c r="A402" s="5" t="s">
        <v>664</v>
      </c>
      <c r="B402" s="1017">
        <v>11164</v>
      </c>
      <c r="C402" s="1016"/>
      <c r="E402" s="3">
        <f>+IFERROR(VLOOKUP(A402,'TB Final'!$A$4:$J$497,5,),0)</f>
        <v>11164</v>
      </c>
      <c r="F402" s="3">
        <f>+IFERROR(VLOOKUP(A402,'TB Final'!$A$4:$J$497,8,),0)</f>
        <v>0</v>
      </c>
      <c r="G402" s="12">
        <f t="shared" si="21"/>
        <v>0</v>
      </c>
      <c r="H402" s="12">
        <f t="shared" si="22"/>
        <v>0</v>
      </c>
      <c r="I402" s="12">
        <f t="shared" si="23"/>
        <v>0</v>
      </c>
    </row>
    <row r="403" spans="1:9">
      <c r="A403" s="5" t="s">
        <v>516</v>
      </c>
      <c r="B403" s="1017">
        <v>22024573.640000001</v>
      </c>
      <c r="C403" s="1016"/>
      <c r="E403" s="3">
        <f>+IFERROR(VLOOKUP(A403,'TB Final'!$A$4:$J$497,5,),0)</f>
        <v>22024573.640000001</v>
      </c>
      <c r="F403" s="3">
        <f>+IFERROR(VLOOKUP(A403,'TB Final'!$A$4:$J$497,8,),0)</f>
        <v>0</v>
      </c>
      <c r="G403" s="12">
        <f t="shared" si="21"/>
        <v>0</v>
      </c>
      <c r="H403" s="12">
        <f t="shared" si="22"/>
        <v>0</v>
      </c>
      <c r="I403" s="12">
        <f t="shared" si="23"/>
        <v>0</v>
      </c>
    </row>
    <row r="404" spans="1:9">
      <c r="A404" s="1140" t="s">
        <v>665</v>
      </c>
      <c r="B404" s="1141">
        <v>1883440565.6800001</v>
      </c>
      <c r="C404" s="1141">
        <v>1883440565.6800001</v>
      </c>
      <c r="G404" s="12"/>
      <c r="H404" s="12"/>
      <c r="I404" s="12"/>
    </row>
    <row r="405" spans="1:9">
      <c r="C405" s="1085">
        <f>+B404-C404</f>
        <v>0</v>
      </c>
    </row>
  </sheetData>
  <autoFilter ref="A11:I406" xr:uid="{00000000-0009-0000-0000-000012000000}"/>
  <mergeCells count="10">
    <mergeCell ref="B8:C8"/>
    <mergeCell ref="B9:C9"/>
    <mergeCell ref="B10:C10"/>
    <mergeCell ref="A1:C1"/>
    <mergeCell ref="A2:C2"/>
    <mergeCell ref="A3:C3"/>
    <mergeCell ref="A4:C4"/>
    <mergeCell ref="A5:C5"/>
    <mergeCell ref="A6:C6"/>
    <mergeCell ref="A7:C7"/>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D86"/>
  <sheetViews>
    <sheetView view="pageBreakPreview" zoomScale="80" zoomScaleNormal="100" zoomScaleSheetLayoutView="80" workbookViewId="0">
      <selection activeCell="A74" sqref="A74"/>
    </sheetView>
  </sheetViews>
  <sheetFormatPr defaultColWidth="9.109375" defaultRowHeight="15.6"/>
  <cols>
    <col min="1" max="1" width="108.88671875" style="803" customWidth="1"/>
    <col min="2" max="2" width="23.109375" style="804" customWidth="1"/>
    <col min="3" max="3" width="22.33203125" style="804" customWidth="1"/>
    <col min="4" max="4" width="11.88671875" hidden="1" customWidth="1"/>
    <col min="5" max="5" width="25.5546875" hidden="1" customWidth="1"/>
    <col min="6" max="8" width="11.88671875" hidden="1" customWidth="1"/>
    <col min="9" max="9" width="15.44140625" hidden="1" customWidth="1"/>
    <col min="10" max="10" width="14.6640625" hidden="1" customWidth="1"/>
    <col min="11" max="11" width="9.109375" hidden="1" customWidth="1"/>
    <col min="12" max="12" width="14.88671875" style="782" hidden="1" customWidth="1"/>
    <col min="13" max="14" width="9.109375" style="782" hidden="1" customWidth="1"/>
    <col min="15" max="15" width="41.33203125" style="783" hidden="1" customWidth="1"/>
    <col min="16" max="16" width="17.109375" style="783" hidden="1" customWidth="1"/>
    <col min="17" max="17" width="9.44140625" style="783" hidden="1" customWidth="1"/>
    <col min="18" max="19" width="16.33203125" style="783" hidden="1" customWidth="1"/>
    <col min="20" max="20" width="17" style="782" hidden="1" customWidth="1"/>
    <col min="21" max="47" width="9.109375" style="782" hidden="1" customWidth="1"/>
    <col min="49" max="49" width="12.5546875" style="784" bestFit="1" customWidth="1"/>
    <col min="50" max="50" width="31.5546875" style="784" bestFit="1" customWidth="1"/>
    <col min="51" max="51" width="17.33203125" style="784" bestFit="1" customWidth="1"/>
    <col min="52" max="52" width="17.6640625" style="784" bestFit="1" customWidth="1"/>
    <col min="53" max="53" width="9.109375" style="784"/>
    <col min="54" max="54" width="17.109375" style="784" bestFit="1" customWidth="1"/>
    <col min="55" max="55" width="18.44140625" style="784" bestFit="1" customWidth="1"/>
    <col min="56" max="56" width="20.44140625" style="784" bestFit="1" customWidth="1"/>
    <col min="57" max="82" width="9.109375" style="784"/>
  </cols>
  <sheetData>
    <row r="1" spans="1:56" ht="16.2" thickBot="1">
      <c r="A1" s="803" t="s">
        <v>2970</v>
      </c>
      <c r="B1" s="804">
        <v>100000</v>
      </c>
      <c r="C1" s="804">
        <v>100000</v>
      </c>
    </row>
    <row r="2" spans="1:56">
      <c r="A2" s="2088" t="s">
        <v>785</v>
      </c>
      <c r="B2" s="2089"/>
      <c r="C2" s="2090"/>
    </row>
    <row r="3" spans="1:56">
      <c r="A3" s="2091" t="s">
        <v>2638</v>
      </c>
      <c r="B3" s="2092"/>
      <c r="C3" s="2093"/>
    </row>
    <row r="4" spans="1:56">
      <c r="A4" s="1190" t="s">
        <v>2461</v>
      </c>
      <c r="B4" s="785" t="s">
        <v>2536</v>
      </c>
      <c r="C4" s="1209" t="s">
        <v>2462</v>
      </c>
    </row>
    <row r="5" spans="1:56">
      <c r="A5" s="1198"/>
      <c r="B5" s="1566"/>
      <c r="C5" s="1567"/>
    </row>
    <row r="6" spans="1:56">
      <c r="A6" s="1193" t="s">
        <v>2463</v>
      </c>
      <c r="B6" s="1568"/>
      <c r="C6" s="1567"/>
    </row>
    <row r="7" spans="1:56">
      <c r="A7" s="1190" t="s">
        <v>2464</v>
      </c>
      <c r="B7" s="1196">
        <f>+BSPL!G92/B1</f>
        <v>-497.75047946512461</v>
      </c>
      <c r="C7" s="1197">
        <f>+BSPL!H92/C1</f>
        <v>30.857267607851028</v>
      </c>
      <c r="N7" s="789"/>
    </row>
    <row r="8" spans="1:56">
      <c r="A8" s="1198" t="s">
        <v>2465</v>
      </c>
      <c r="B8" s="1130"/>
      <c r="C8" s="1569"/>
    </row>
    <row r="9" spans="1:56">
      <c r="A9" s="1198" t="s">
        <v>2466</v>
      </c>
      <c r="B9" s="1130">
        <f>BSPL!G106/B1</f>
        <v>4.5342099999999999</v>
      </c>
      <c r="C9" s="1199">
        <f>+BSPL!H106/C1</f>
        <v>11.040749999999999</v>
      </c>
    </row>
    <row r="10" spans="1:56">
      <c r="A10" s="1198" t="s">
        <v>2467</v>
      </c>
      <c r="B10" s="1130">
        <f>+BSPL!G86/B1</f>
        <v>180.81666999999999</v>
      </c>
      <c r="C10" s="1199">
        <f>+BSPL!H86/C1</f>
        <v>179.57748491325566</v>
      </c>
    </row>
    <row r="11" spans="1:56">
      <c r="A11" s="1198" t="s">
        <v>850</v>
      </c>
      <c r="B11" s="1130">
        <f>+BSPL!G85/B1</f>
        <v>85.876410000000007</v>
      </c>
      <c r="C11" s="1199">
        <f>+BSPL!H85/C1</f>
        <v>76.029531500000004</v>
      </c>
    </row>
    <row r="12" spans="1:56">
      <c r="A12" s="1198" t="s">
        <v>841</v>
      </c>
      <c r="B12" s="1130"/>
      <c r="C12" s="1569"/>
    </row>
    <row r="13" spans="1:56">
      <c r="A13" s="1190" t="s">
        <v>2469</v>
      </c>
      <c r="B13" s="1196">
        <f>SUM(B7:B12)</f>
        <v>-226.52318946512463</v>
      </c>
      <c r="C13" s="1570">
        <f>SUM(C7:C12)</f>
        <v>297.50503402110672</v>
      </c>
    </row>
    <row r="14" spans="1:56">
      <c r="A14" s="1193"/>
      <c r="B14" s="1568"/>
      <c r="C14" s="1571"/>
      <c r="O14" s="791" t="s">
        <v>2470</v>
      </c>
      <c r="P14" s="783">
        <v>0</v>
      </c>
      <c r="Q14" s="783">
        <v>0</v>
      </c>
      <c r="R14" s="783">
        <v>12325000</v>
      </c>
      <c r="S14" s="783">
        <v>0</v>
      </c>
      <c r="T14" s="792">
        <f>+P14-R14</f>
        <v>-12325000</v>
      </c>
    </row>
    <row r="15" spans="1:56">
      <c r="A15" s="1193" t="s">
        <v>2471</v>
      </c>
      <c r="B15" s="1568"/>
      <c r="C15" s="1569"/>
      <c r="O15" s="791" t="s">
        <v>2472</v>
      </c>
      <c r="P15" s="783">
        <v>3800000</v>
      </c>
      <c r="Q15" s="783">
        <v>0</v>
      </c>
      <c r="R15" s="783">
        <v>0</v>
      </c>
      <c r="S15" s="783">
        <v>0</v>
      </c>
      <c r="T15" s="792">
        <f t="shared" ref="T15:T25" si="0">+P15-R15</f>
        <v>3800000</v>
      </c>
      <c r="AX15" s="793" t="s">
        <v>2473</v>
      </c>
      <c r="AY15" s="793" t="s">
        <v>2474</v>
      </c>
      <c r="AZ15" s="793" t="s">
        <v>2475</v>
      </c>
      <c r="BA15" s="793" t="s">
        <v>2476</v>
      </c>
      <c r="BB15" s="793" t="s">
        <v>2477</v>
      </c>
      <c r="BC15" s="793" t="s">
        <v>2478</v>
      </c>
      <c r="BD15" s="793" t="s">
        <v>2479</v>
      </c>
    </row>
    <row r="16" spans="1:56">
      <c r="A16" s="1198" t="s">
        <v>2480</v>
      </c>
      <c r="B16" s="1130">
        <f>+(BSPL!H15-BSPL!G15)/B1</f>
        <v>-110.694138336384</v>
      </c>
      <c r="C16" s="1569">
        <f>15920527.4978893/C1</f>
        <v>159.20527497889302</v>
      </c>
      <c r="E16" s="136" t="s">
        <v>798</v>
      </c>
      <c r="F16">
        <f>+[72]BSPL!G15</f>
        <v>51184927.105289809</v>
      </c>
      <c r="G16">
        <v>42797875.565622441</v>
      </c>
      <c r="H16">
        <f>+G16-F16</f>
        <v>-8387051.5396673679</v>
      </c>
      <c r="I16">
        <v>-8387051.5396673679</v>
      </c>
      <c r="J16">
        <f>+H16-I16</f>
        <v>0</v>
      </c>
      <c r="O16" s="791" t="s">
        <v>326</v>
      </c>
      <c r="P16" s="783">
        <v>34285</v>
      </c>
      <c r="Q16" s="783">
        <v>0</v>
      </c>
      <c r="R16" s="783">
        <v>34285</v>
      </c>
      <c r="S16" s="783">
        <v>0</v>
      </c>
      <c r="T16" s="792">
        <f t="shared" si="0"/>
        <v>0</v>
      </c>
      <c r="AX16" s="793" t="s">
        <v>798</v>
      </c>
      <c r="AY16" s="793">
        <f>+[73]BSPL!F15</f>
        <v>67513794.217889339</v>
      </c>
      <c r="AZ16" s="793">
        <f>+[73]BSPL!G15</f>
        <v>67823511.890000001</v>
      </c>
      <c r="BA16" s="793"/>
      <c r="BB16" s="793">
        <f>+AZ16</f>
        <v>67823511.890000001</v>
      </c>
      <c r="BC16" s="793">
        <v>51184927.105289809</v>
      </c>
      <c r="BD16" s="793"/>
    </row>
    <row r="17" spans="1:82">
      <c r="A17" s="1198" t="s">
        <v>2481</v>
      </c>
      <c r="B17" s="1130">
        <f>+(BSPL!H17-BSPL!G17)/B1</f>
        <v>507.52504290000007</v>
      </c>
      <c r="C17" s="1569">
        <f>-10794697/C1</f>
        <v>-107.94696999999999</v>
      </c>
      <c r="E17" s="136" t="s">
        <v>16</v>
      </c>
      <c r="F17">
        <f>+[72]BSPL!G17</f>
        <v>89957465.5</v>
      </c>
      <c r="G17">
        <v>100458396.86999999</v>
      </c>
      <c r="H17">
        <f>+G17-F17</f>
        <v>10500931.36999999</v>
      </c>
      <c r="I17">
        <v>10500931.36999999</v>
      </c>
      <c r="J17">
        <f t="shared" ref="J17:J27" si="1">+H17-I17</f>
        <v>0</v>
      </c>
      <c r="O17" s="791" t="s">
        <v>329</v>
      </c>
      <c r="P17" s="783">
        <v>122153</v>
      </c>
      <c r="Q17" s="783">
        <v>0</v>
      </c>
      <c r="R17" s="783">
        <v>122153</v>
      </c>
      <c r="S17" s="783">
        <v>0</v>
      </c>
      <c r="T17" s="792">
        <f t="shared" si="0"/>
        <v>0</v>
      </c>
      <c r="AX17" s="793" t="s">
        <v>16</v>
      </c>
      <c r="AY17" s="793" t="e">
        <f>+[73]BSPL!F16</f>
        <v>#REF!</v>
      </c>
      <c r="AZ17" s="793">
        <f>+[73]BSPL!G17</f>
        <v>94854388</v>
      </c>
      <c r="BA17" s="793"/>
      <c r="BB17" s="793">
        <f t="shared" ref="BB17:BB25" si="2">+AZ17</f>
        <v>94854388</v>
      </c>
      <c r="BC17" s="793">
        <v>89957465.5</v>
      </c>
      <c r="BD17" s="793"/>
    </row>
    <row r="18" spans="1:82">
      <c r="A18" s="1198" t="s">
        <v>2482</v>
      </c>
      <c r="B18" s="1130">
        <f>+(BSPL!H19-BSPL!G19)/B1</f>
        <v>9.3550000000000004</v>
      </c>
      <c r="C18" s="1569">
        <f>-1081500.4/C1</f>
        <v>-10.815003999999998</v>
      </c>
      <c r="E18" t="s">
        <v>37</v>
      </c>
      <c r="F18">
        <f>+[72]BSPL!G20</f>
        <v>5769158.1199999992</v>
      </c>
      <c r="G18">
        <v>3466500.52</v>
      </c>
      <c r="H18">
        <f>+G18-F18</f>
        <v>-2302657.5999999992</v>
      </c>
      <c r="I18">
        <v>257785</v>
      </c>
      <c r="J18">
        <f t="shared" si="1"/>
        <v>-2560442.5999999992</v>
      </c>
      <c r="O18" s="791" t="s">
        <v>331</v>
      </c>
      <c r="P18" s="783">
        <v>139678</v>
      </c>
      <c r="Q18" s="783">
        <v>0</v>
      </c>
      <c r="R18" s="783">
        <v>139678</v>
      </c>
      <c r="S18" s="783">
        <v>0</v>
      </c>
      <c r="T18" s="792">
        <f t="shared" si="0"/>
        <v>0</v>
      </c>
      <c r="AX18" s="793" t="s">
        <v>37</v>
      </c>
      <c r="AY18" s="793">
        <f>+[73]BSPL!F17</f>
        <v>155760049.43000001</v>
      </c>
      <c r="AZ18" s="793">
        <f>+[73]BSPL!G20</f>
        <v>8543299.9600000009</v>
      </c>
      <c r="BA18" s="793"/>
      <c r="BB18" s="793">
        <f t="shared" si="2"/>
        <v>8543299.9600000009</v>
      </c>
      <c r="BC18" s="793">
        <v>5769158.1199999992</v>
      </c>
      <c r="BD18" s="793"/>
    </row>
    <row r="19" spans="1:82">
      <c r="A19" s="1198" t="s">
        <v>2483</v>
      </c>
      <c r="B19" s="1130">
        <f>+(BSPL!H20-BSPL!G20)/B1</f>
        <v>-37.814469800000005</v>
      </c>
      <c r="C19" s="1569">
        <f>-2096242/C1</f>
        <v>-20.962420000000002</v>
      </c>
      <c r="E19" s="136" t="s">
        <v>34</v>
      </c>
      <c r="F19">
        <f>+[72]BSPL!G291</f>
        <v>7276608.1800000006</v>
      </c>
      <c r="G19">
        <v>8397289.7899999991</v>
      </c>
      <c r="H19">
        <f>+G19-F19</f>
        <v>1120681.6099999985</v>
      </c>
      <c r="I19">
        <v>-6669728.5899999999</v>
      </c>
      <c r="J19">
        <f t="shared" si="1"/>
        <v>7790410.1999999983</v>
      </c>
      <c r="O19" s="791" t="s">
        <v>332</v>
      </c>
      <c r="P19" s="783">
        <v>271788</v>
      </c>
      <c r="Q19" s="783">
        <v>0</v>
      </c>
      <c r="R19" s="783">
        <v>271788</v>
      </c>
      <c r="S19" s="783">
        <v>0</v>
      </c>
      <c r="T19" s="792">
        <f t="shared" si="0"/>
        <v>0</v>
      </c>
      <c r="AX19" s="793" t="s">
        <v>34</v>
      </c>
      <c r="AY19" s="793">
        <f>+[73]BSPL!F18</f>
        <v>333868.40000000002</v>
      </c>
      <c r="AZ19" s="793">
        <f>+[73]BSPL!G21</f>
        <v>5106736.3549999995</v>
      </c>
      <c r="BA19" s="793"/>
      <c r="BB19" s="793">
        <f t="shared" si="2"/>
        <v>5106736.3549999995</v>
      </c>
      <c r="BC19" s="793">
        <v>7276608.1800000006</v>
      </c>
      <c r="BD19" s="793"/>
    </row>
    <row r="20" spans="1:82">
      <c r="A20" s="1198" t="s">
        <v>2484</v>
      </c>
      <c r="B20" s="1130">
        <v>0</v>
      </c>
      <c r="C20" s="1569">
        <v>0</v>
      </c>
      <c r="E20" s="136" t="s">
        <v>2485</v>
      </c>
      <c r="F20">
        <f>+[72]BSPL!G19</f>
        <v>192300</v>
      </c>
      <c r="G20">
        <v>192929</v>
      </c>
      <c r="H20">
        <f>+G20-F20</f>
        <v>629</v>
      </c>
      <c r="I20">
        <v>628.5</v>
      </c>
      <c r="J20">
        <f t="shared" si="1"/>
        <v>0.5</v>
      </c>
      <c r="O20" s="791" t="s">
        <v>2486</v>
      </c>
      <c r="P20" s="794">
        <v>0</v>
      </c>
      <c r="Q20" s="794">
        <v>0</v>
      </c>
      <c r="R20" s="794">
        <v>0</v>
      </c>
      <c r="S20" s="794">
        <v>0</v>
      </c>
      <c r="T20" s="792">
        <f t="shared" si="0"/>
        <v>0</v>
      </c>
      <c r="AX20" s="793" t="s">
        <v>2485</v>
      </c>
      <c r="AY20" s="793">
        <f>+[73]BSPL!F19</f>
        <v>0</v>
      </c>
      <c r="AZ20" s="793">
        <f>+[73]BSPL!G19</f>
        <v>83453.5</v>
      </c>
      <c r="BA20" s="793"/>
      <c r="BB20" s="793">
        <f t="shared" si="2"/>
        <v>83453.5</v>
      </c>
      <c r="BC20" s="793">
        <v>192300</v>
      </c>
      <c r="BD20" s="793"/>
    </row>
    <row r="21" spans="1:82">
      <c r="A21" s="1198" t="s">
        <v>2487</v>
      </c>
      <c r="B21" s="1130">
        <f>+(BSPL!G40-BSPL!H40)/B1</f>
        <v>42.414431501510144</v>
      </c>
      <c r="C21" s="1569">
        <f>7728779.08/C1</f>
        <v>77.287790799999996</v>
      </c>
      <c r="E21" t="s">
        <v>2488</v>
      </c>
      <c r="F21">
        <f>+[72]BSPL!G41</f>
        <v>49656875.130000003</v>
      </c>
      <c r="G21">
        <v>64903509.759999998</v>
      </c>
      <c r="H21">
        <f t="shared" ref="H21:H25" si="3">+F21-G21</f>
        <v>-15246634.629999995</v>
      </c>
      <c r="I21">
        <v>-15466601.429999992</v>
      </c>
      <c r="J21">
        <f t="shared" si="1"/>
        <v>219966.79999999702</v>
      </c>
      <c r="O21" s="791" t="s">
        <v>2489</v>
      </c>
      <c r="P21" s="783">
        <v>0</v>
      </c>
      <c r="Q21" s="783">
        <v>0</v>
      </c>
      <c r="R21" s="783">
        <v>19841</v>
      </c>
      <c r="S21" s="783">
        <v>0</v>
      </c>
      <c r="T21" s="792">
        <f t="shared" si="0"/>
        <v>-19841</v>
      </c>
      <c r="AX21" s="793" t="s">
        <v>2488</v>
      </c>
      <c r="AY21" s="793">
        <f>+[73]BSPL!F20</f>
        <v>7281000</v>
      </c>
      <c r="AZ21" s="793">
        <f>+[73]BSPL!G41</f>
        <v>59045466.559999995</v>
      </c>
      <c r="BA21" s="793"/>
      <c r="BB21" s="793">
        <f t="shared" si="2"/>
        <v>59045466.559999995</v>
      </c>
      <c r="BC21" s="793">
        <v>49656875.130000003</v>
      </c>
      <c r="BD21" s="793"/>
    </row>
    <row r="22" spans="1:82">
      <c r="A22" s="1198" t="s">
        <v>2490</v>
      </c>
      <c r="B22" s="1130">
        <f>+(BSPL!G34-BSPL!H34)/B1</f>
        <v>-1.36086</v>
      </c>
      <c r="C22" s="1569">
        <f>-568550/C1</f>
        <v>-5.6855000000000002</v>
      </c>
      <c r="E22" t="s">
        <v>2491</v>
      </c>
      <c r="F22">
        <f>+[72]BSPL!G357</f>
        <v>1662107</v>
      </c>
      <c r="G22">
        <v>1812727</v>
      </c>
      <c r="H22">
        <f t="shared" si="3"/>
        <v>-150620</v>
      </c>
      <c r="J22">
        <f t="shared" si="1"/>
        <v>-150620</v>
      </c>
      <c r="O22" s="791" t="s">
        <v>2492</v>
      </c>
      <c r="P22" s="783">
        <v>15292</v>
      </c>
      <c r="Q22" s="783">
        <v>0</v>
      </c>
      <c r="R22" s="783">
        <v>0</v>
      </c>
      <c r="S22" s="783">
        <v>0</v>
      </c>
      <c r="T22" s="792">
        <f t="shared" si="0"/>
        <v>15292</v>
      </c>
      <c r="AX22" s="793" t="s">
        <v>2491</v>
      </c>
      <c r="AY22" s="793">
        <f>+[73]BSPL!F21</f>
        <v>4209495.0199999996</v>
      </c>
      <c r="AZ22" s="793">
        <f>+[73]BSPL!G353</f>
        <v>2183354.7000000002</v>
      </c>
      <c r="BA22" s="793"/>
      <c r="BB22" s="793">
        <f t="shared" si="2"/>
        <v>2183354.7000000002</v>
      </c>
      <c r="BC22" s="793">
        <v>1662107</v>
      </c>
      <c r="BD22" s="793"/>
    </row>
    <row r="23" spans="1:82">
      <c r="A23" s="1198" t="s">
        <v>2493</v>
      </c>
      <c r="B23" s="1130">
        <f>+(BSPL!G456-BSPL!H456)/B1</f>
        <v>-0.64788000000000001</v>
      </c>
      <c r="C23" s="1569">
        <f>-93963/C1</f>
        <v>-0.93962999999999997</v>
      </c>
      <c r="E23" s="136" t="s">
        <v>2494</v>
      </c>
      <c r="F23" s="136">
        <f>+[72]BSPL!G404+[72]BSPL!G406</f>
        <v>983176</v>
      </c>
      <c r="G23">
        <f>192300+830966</f>
        <v>1023266</v>
      </c>
      <c r="H23">
        <f t="shared" si="3"/>
        <v>-40090</v>
      </c>
      <c r="I23">
        <v>-40090</v>
      </c>
      <c r="J23">
        <f t="shared" si="1"/>
        <v>0</v>
      </c>
      <c r="O23" s="791" t="s">
        <v>2495</v>
      </c>
      <c r="P23" s="794">
        <v>0</v>
      </c>
      <c r="Q23" s="794">
        <v>0</v>
      </c>
      <c r="R23" s="794">
        <v>4717</v>
      </c>
      <c r="S23" s="794">
        <v>0</v>
      </c>
      <c r="T23" s="792">
        <f t="shared" si="0"/>
        <v>-4717</v>
      </c>
      <c r="AX23" s="793" t="s">
        <v>2494</v>
      </c>
      <c r="AY23" s="793">
        <f>+[73]BSPL!F22</f>
        <v>673307</v>
      </c>
      <c r="AZ23" s="793">
        <f>+[73]BSPL!G42</f>
        <v>8240996.9399999995</v>
      </c>
      <c r="BA23" s="793"/>
      <c r="BB23" s="793">
        <f t="shared" si="2"/>
        <v>8240996.9399999995</v>
      </c>
      <c r="BC23" s="793">
        <v>20599587</v>
      </c>
      <c r="BD23" s="793"/>
    </row>
    <row r="24" spans="1:82">
      <c r="A24" s="1198" t="s">
        <v>2496</v>
      </c>
      <c r="B24" s="1130">
        <f>+(BSPL!G42-BSPL!H42)/B1</f>
        <v>-42.558381400000009</v>
      </c>
      <c r="C24" s="1569">
        <f>-117461.310000001/C1</f>
        <v>-1.17461310000001</v>
      </c>
      <c r="E24" s="136" t="s">
        <v>57</v>
      </c>
      <c r="F24">
        <f>+[72]BSPL!G43</f>
        <v>539205.43999999994</v>
      </c>
      <c r="G24">
        <v>652090.0400000005</v>
      </c>
      <c r="H24">
        <f t="shared" si="3"/>
        <v>-112884.60000000056</v>
      </c>
      <c r="I24">
        <v>4972825.7999999989</v>
      </c>
      <c r="J24">
        <f t="shared" si="1"/>
        <v>-5085710.3999999994</v>
      </c>
      <c r="O24" s="791" t="s">
        <v>328</v>
      </c>
      <c r="P24" s="783">
        <v>17190</v>
      </c>
      <c r="Q24" s="783">
        <v>0</v>
      </c>
      <c r="R24" s="783">
        <v>0</v>
      </c>
      <c r="S24" s="783">
        <v>0</v>
      </c>
      <c r="T24" s="792">
        <f t="shared" si="0"/>
        <v>17190</v>
      </c>
      <c r="AX24" s="793" t="s">
        <v>57</v>
      </c>
      <c r="AY24" s="793">
        <f>+[73]BSPL!F23</f>
        <v>235771514.06788936</v>
      </c>
      <c r="AZ24" s="793">
        <f>+[73]BSPL!G43</f>
        <v>537842.43999999994</v>
      </c>
      <c r="BA24" s="793"/>
      <c r="BB24" s="793">
        <f t="shared" si="2"/>
        <v>537842.43999999994</v>
      </c>
      <c r="BC24" s="793">
        <v>539205.43999999994</v>
      </c>
      <c r="BD24" s="793"/>
    </row>
    <row r="25" spans="1:82">
      <c r="A25" s="1198" t="s">
        <v>2497</v>
      </c>
      <c r="B25" s="1130">
        <f>+(BSPL!G464-BSPL!H464+BSPL!G465-BSPL!H465)/B1</f>
        <v>-14.00961</v>
      </c>
      <c r="C25" s="1569">
        <f>-145701.495/C1</f>
        <v>-1.45701495</v>
      </c>
      <c r="E25" t="s">
        <v>2498</v>
      </c>
      <c r="F25">
        <f>+[72]BSPL!G413+[72]BSPL!G414</f>
        <v>3054029</v>
      </c>
      <c r="G25">
        <v>2118784</v>
      </c>
      <c r="H25">
        <f t="shared" si="3"/>
        <v>935245</v>
      </c>
      <c r="I25">
        <v>796877.99999999907</v>
      </c>
      <c r="J25">
        <f t="shared" si="1"/>
        <v>138367.00000000093</v>
      </c>
      <c r="O25" s="791" t="s">
        <v>2499</v>
      </c>
      <c r="P25" s="783">
        <v>44002</v>
      </c>
      <c r="Q25" s="783">
        <v>0</v>
      </c>
      <c r="R25" s="783">
        <v>0</v>
      </c>
      <c r="S25" s="783">
        <v>0</v>
      </c>
      <c r="T25" s="792">
        <f t="shared" si="0"/>
        <v>44002</v>
      </c>
      <c r="AX25" s="793" t="s">
        <v>2498</v>
      </c>
      <c r="AY25" s="793" t="e">
        <f>+[73]BSPL!F24</f>
        <v>#REF!</v>
      </c>
      <c r="AZ25" s="793">
        <f>+[73]BSPL!G413+[73]BSPL!G414</f>
        <v>3125149</v>
      </c>
      <c r="BA25" s="793"/>
      <c r="BB25" s="793">
        <f t="shared" si="2"/>
        <v>3125149</v>
      </c>
      <c r="BC25" s="793">
        <f>1450129+1603900</f>
        <v>3054029</v>
      </c>
      <c r="BD25" s="793"/>
    </row>
    <row r="26" spans="1:82">
      <c r="A26" s="1198" t="s">
        <v>2500</v>
      </c>
      <c r="B26" s="1130">
        <f>+(BSPL!H11-BSPL!G11)/B1</f>
        <v>-10.861473900000002</v>
      </c>
      <c r="C26" s="1569">
        <f>-398174.61/C1</f>
        <v>-3.9817461000000001</v>
      </c>
      <c r="E26" s="136" t="s">
        <v>2501</v>
      </c>
      <c r="F26">
        <f>+[72]BSPL!G11</f>
        <v>2870555</v>
      </c>
      <c r="G26">
        <v>2878939.95</v>
      </c>
      <c r="H26">
        <f>+G26-F26</f>
        <v>8384.9500000001863</v>
      </c>
      <c r="I26">
        <v>8384.9500000001863</v>
      </c>
      <c r="J26">
        <f t="shared" si="1"/>
        <v>0</v>
      </c>
      <c r="AX26" s="793" t="s">
        <v>2501</v>
      </c>
      <c r="AY26" s="793" t="e">
        <f>+[73]BSPL!F25</f>
        <v>#REF!</v>
      </c>
      <c r="AZ26" s="793">
        <f>+[73]BSPL!G21</f>
        <v>5106736.3549999995</v>
      </c>
      <c r="BA26" s="793"/>
      <c r="BB26" s="793">
        <f>+AZ26</f>
        <v>5106736.3549999995</v>
      </c>
      <c r="BC26" s="793">
        <v>2870555</v>
      </c>
      <c r="BD26" s="793"/>
    </row>
    <row r="27" spans="1:82">
      <c r="A27" s="1198" t="s">
        <v>2502</v>
      </c>
      <c r="B27" s="1130">
        <f>+(BSPL!H232-BSPL!G232+BSPL!H233-BSPL!G233)/B1</f>
        <v>-63.435540000000003</v>
      </c>
      <c r="C27" s="1569">
        <f>-546900/C1</f>
        <v>-5.4690000000000003</v>
      </c>
      <c r="E27" s="136" t="s">
        <v>2503</v>
      </c>
      <c r="F27">
        <f>+[72]BSPL!G242+[72]BSPL!G243</f>
        <v>4153020.3599999994</v>
      </c>
      <c r="G27">
        <v>3980523.36</v>
      </c>
      <c r="H27">
        <f>+G27-F27</f>
        <v>-172496.99999999953</v>
      </c>
      <c r="I27">
        <v>-52616.999999999534</v>
      </c>
      <c r="J27">
        <f t="shared" si="1"/>
        <v>-119880</v>
      </c>
      <c r="O27" s="783" t="s">
        <v>2504</v>
      </c>
      <c r="P27" s="783">
        <f>+[72]BSPL!F99</f>
        <v>4514807.180287933</v>
      </c>
      <c r="R27" s="783">
        <f>+[72]BSPL!G99</f>
        <v>16160409.421267949</v>
      </c>
      <c r="AX27" s="793" t="s">
        <v>2503</v>
      </c>
      <c r="AY27" s="793"/>
      <c r="AZ27" s="793">
        <f t="shared" ref="AZ27" si="4">+BB27</f>
        <v>0</v>
      </c>
      <c r="BA27" s="793"/>
      <c r="BB27" s="793"/>
      <c r="BC27" s="793">
        <f>1353400+2799620.36</f>
        <v>4153020.36</v>
      </c>
      <c r="BD27" s="793"/>
    </row>
    <row r="28" spans="1:82">
      <c r="A28" s="1198"/>
      <c r="B28" s="1130"/>
      <c r="C28" s="1569"/>
    </row>
    <row r="29" spans="1:82">
      <c r="A29" s="1190" t="s">
        <v>2505</v>
      </c>
      <c r="B29" s="1196">
        <f>SUM(B15:B28)</f>
        <v>277.91212096512618</v>
      </c>
      <c r="C29" s="1570">
        <f>SUM(C15:C28)</f>
        <v>78.061167628893003</v>
      </c>
      <c r="P29" s="783">
        <f>-P27+(SUM(P14:P25)-SUM(R14:R25))</f>
        <v>-12987881.180287933</v>
      </c>
    </row>
    <row r="30" spans="1:82">
      <c r="A30" s="1190" t="s">
        <v>2506</v>
      </c>
      <c r="B30" s="1196">
        <f>+B29+B13</f>
        <v>51.388931500001547</v>
      </c>
      <c r="C30" s="1570">
        <f>+C29+C13</f>
        <v>375.5662016499997</v>
      </c>
    </row>
    <row r="31" spans="1:82" s="795" customFormat="1">
      <c r="A31" s="1193" t="s">
        <v>2507</v>
      </c>
      <c r="B31" s="1568">
        <f>+(BSPL!G94+(BSPL!H21-BSPL!G21))/B1</f>
        <v>-12.274425463122041</v>
      </c>
      <c r="C31" s="1569">
        <f>-4234079.8/C1</f>
        <v>-42.340797999999999</v>
      </c>
      <c r="L31" s="796">
        <f>-6175062+6150116</f>
        <v>-24946</v>
      </c>
      <c r="M31" s="796"/>
      <c r="N31" s="796"/>
      <c r="O31" s="797" t="s">
        <v>2508</v>
      </c>
      <c r="P31" s="797">
        <f>+P15+P25+P22</f>
        <v>3859294</v>
      </c>
      <c r="Q31" s="797"/>
      <c r="R31" s="797">
        <f>+R14+R21</f>
        <v>12344841</v>
      </c>
      <c r="S31" s="797">
        <f>+R31-P31</f>
        <v>8485547</v>
      </c>
      <c r="T31" s="796"/>
      <c r="U31" s="796"/>
      <c r="V31" s="796"/>
      <c r="W31" s="796"/>
      <c r="X31" s="796"/>
      <c r="Y31" s="796"/>
      <c r="Z31" s="796"/>
      <c r="AA31" s="796"/>
      <c r="AB31" s="796"/>
      <c r="AC31" s="796"/>
      <c r="AD31" s="796"/>
      <c r="AE31" s="796"/>
      <c r="AF31" s="796"/>
      <c r="AG31" s="796"/>
      <c r="AH31" s="796"/>
      <c r="AI31" s="796"/>
      <c r="AJ31" s="796"/>
      <c r="AK31" s="796"/>
      <c r="AL31" s="796"/>
      <c r="AM31" s="796"/>
      <c r="AN31" s="796"/>
      <c r="AO31" s="796"/>
      <c r="AP31" s="796"/>
      <c r="AQ31" s="796"/>
      <c r="AR31" s="796"/>
      <c r="AS31" s="796"/>
      <c r="AT31" s="796"/>
      <c r="AU31" s="796"/>
      <c r="AV31" s="798"/>
      <c r="AW31" s="799"/>
      <c r="AX31" s="799" t="s">
        <v>2537</v>
      </c>
      <c r="AY31" s="799"/>
      <c r="AZ31" s="799"/>
      <c r="BA31" s="799"/>
      <c r="BB31" s="799"/>
      <c r="BC31" s="799"/>
      <c r="BD31" s="799"/>
      <c r="BE31" s="799"/>
      <c r="BF31" s="799"/>
      <c r="BG31" s="799"/>
      <c r="BH31" s="799"/>
      <c r="BI31" s="799"/>
      <c r="BJ31" s="799"/>
      <c r="BK31" s="799"/>
      <c r="BL31" s="799"/>
      <c r="BM31" s="799"/>
      <c r="BN31" s="799"/>
      <c r="BO31" s="799"/>
      <c r="BP31" s="799"/>
      <c r="BQ31" s="799"/>
      <c r="BR31" s="799"/>
      <c r="BS31" s="799"/>
      <c r="BT31" s="799"/>
      <c r="BU31" s="799"/>
      <c r="BV31" s="799"/>
      <c r="BW31" s="799"/>
      <c r="BX31" s="799"/>
      <c r="BY31" s="799"/>
      <c r="BZ31" s="799"/>
      <c r="CA31" s="799"/>
      <c r="CB31" s="799"/>
      <c r="CC31" s="799"/>
      <c r="CD31" s="799"/>
    </row>
    <row r="32" spans="1:82">
      <c r="A32" s="1190" t="s">
        <v>2509</v>
      </c>
      <c r="B32" s="1196">
        <f>+B30+B31</f>
        <v>39.114506036879504</v>
      </c>
      <c r="C32" s="1570">
        <f>+C30+C31</f>
        <v>333.22540364999969</v>
      </c>
      <c r="L32" s="782">
        <f>+L31/2</f>
        <v>-12473</v>
      </c>
      <c r="O32" s="783" t="s">
        <v>2510</v>
      </c>
      <c r="P32" s="783">
        <f>+P16+P17+P18+P19+P24</f>
        <v>585094</v>
      </c>
      <c r="R32" s="783">
        <f>+R16+R17+R18+R19+R23</f>
        <v>572621</v>
      </c>
      <c r="S32" s="783">
        <f>+R32-P32</f>
        <v>-12473</v>
      </c>
    </row>
    <row r="33" spans="1:82">
      <c r="A33" s="1198"/>
      <c r="B33" s="1130"/>
      <c r="C33" s="1569"/>
      <c r="O33" s="783" t="s">
        <v>2511</v>
      </c>
      <c r="P33" s="783">
        <f>+P27</f>
        <v>4514807.180287933</v>
      </c>
      <c r="R33" s="783">
        <f>+R27</f>
        <v>16160409.421267949</v>
      </c>
      <c r="S33" s="783">
        <f>+P33-R33</f>
        <v>-11645602.240980016</v>
      </c>
    </row>
    <row r="34" spans="1:82">
      <c r="A34" s="1193" t="s">
        <v>2512</v>
      </c>
      <c r="B34" s="1568"/>
      <c r="C34" s="1569"/>
      <c r="O34" s="783" t="s">
        <v>2513</v>
      </c>
      <c r="P34" s="783">
        <f>+[72]Computation!I83</f>
        <v>655513</v>
      </c>
      <c r="R34" s="783">
        <v>2326918</v>
      </c>
      <c r="S34" s="783">
        <f>+R34-P34</f>
        <v>1671405</v>
      </c>
    </row>
    <row r="35" spans="1:82" s="795" customFormat="1">
      <c r="A35" s="1198" t="s">
        <v>2514</v>
      </c>
      <c r="B35" s="1130">
        <f>+((BSPL!H9-BSPL!G9)+(BSPL!H231-BSPL!G231)+(BSPL!G455-BSPL!H455)-SUM(Depreciation!B10:I10))/B1</f>
        <v>-907.51787390000015</v>
      </c>
      <c r="C35" s="1569">
        <f>-60792146.5977198/C1</f>
        <v>-607.92146597719807</v>
      </c>
      <c r="G35" s="795">
        <v>-20356671.280000001</v>
      </c>
      <c r="H35" s="795">
        <f>+G35+(G36-F36)+(G37-F37)+(F38-G38)</f>
        <v>-21384868.280000001</v>
      </c>
      <c r="L35" s="796"/>
      <c r="M35" s="796"/>
      <c r="N35" s="796"/>
      <c r="O35" s="797" t="s">
        <v>2515</v>
      </c>
      <c r="P35" s="797">
        <f>-[72]BSPL!F371</f>
        <v>1808134</v>
      </c>
      <c r="Q35" s="797"/>
      <c r="R35" s="797">
        <f>-[72]BSPL!G371</f>
        <v>7089950.0863537798</v>
      </c>
      <c r="S35" s="797">
        <f>+R35-P35</f>
        <v>5281816.0863537798</v>
      </c>
      <c r="T35" s="796"/>
      <c r="U35" s="796"/>
      <c r="V35" s="796"/>
      <c r="W35" s="796"/>
      <c r="X35" s="796"/>
      <c r="Y35" s="796"/>
      <c r="Z35" s="796"/>
      <c r="AA35" s="796"/>
      <c r="AB35" s="796"/>
      <c r="AC35" s="796"/>
      <c r="AD35" s="796"/>
      <c r="AE35" s="796"/>
      <c r="AF35" s="796"/>
      <c r="AG35" s="796"/>
      <c r="AH35" s="796"/>
      <c r="AI35" s="796"/>
      <c r="AJ35" s="796"/>
      <c r="AK35" s="796"/>
      <c r="AL35" s="796"/>
      <c r="AM35" s="796"/>
      <c r="AN35" s="796"/>
      <c r="AO35" s="796"/>
      <c r="AP35" s="796"/>
      <c r="AQ35" s="796"/>
      <c r="AR35" s="796"/>
      <c r="AS35" s="796"/>
      <c r="AT35" s="796"/>
      <c r="AU35" s="796"/>
      <c r="AW35" s="799"/>
      <c r="AX35" s="799"/>
      <c r="AY35" s="799"/>
      <c r="AZ35" s="799"/>
      <c r="BA35" s="799"/>
      <c r="BB35" s="799"/>
      <c r="BC35" s="799"/>
      <c r="BD35" s="799"/>
      <c r="BE35" s="799"/>
      <c r="BF35" s="799"/>
      <c r="BG35" s="799"/>
      <c r="BH35" s="799"/>
      <c r="BI35" s="799"/>
      <c r="BJ35" s="799"/>
      <c r="BK35" s="799"/>
      <c r="BL35" s="799"/>
      <c r="BM35" s="799"/>
      <c r="BN35" s="799"/>
      <c r="BO35" s="799"/>
      <c r="BP35" s="799"/>
      <c r="BQ35" s="799"/>
      <c r="BR35" s="799"/>
      <c r="BS35" s="799"/>
      <c r="BT35" s="799"/>
      <c r="BU35" s="799"/>
      <c r="BV35" s="799"/>
      <c r="BW35" s="799"/>
      <c r="BX35" s="799"/>
      <c r="BY35" s="799"/>
      <c r="BZ35" s="799"/>
      <c r="CA35" s="799"/>
      <c r="CB35" s="799"/>
      <c r="CC35" s="799"/>
      <c r="CD35" s="799"/>
    </row>
    <row r="36" spans="1:82" s="795" customFormat="1">
      <c r="A36" s="1198" t="s">
        <v>2516</v>
      </c>
      <c r="B36" s="1130">
        <v>0</v>
      </c>
      <c r="C36" s="1569">
        <v>0</v>
      </c>
      <c r="F36" s="795">
        <f>+[72]BSPL!G9</f>
        <v>484789</v>
      </c>
      <c r="G36" s="795">
        <v>382310</v>
      </c>
      <c r="L36" s="796"/>
      <c r="M36" s="796"/>
      <c r="N36" s="796"/>
      <c r="O36" s="797"/>
      <c r="P36" s="797">
        <f>+([72]BSPL!F412-[72]BSPL!G412)</f>
        <v>-1488650.2409800161</v>
      </c>
      <c r="Q36" s="797"/>
      <c r="R36" s="797"/>
      <c r="S36" s="797"/>
      <c r="T36" s="796"/>
      <c r="U36" s="796"/>
      <c r="V36" s="796"/>
      <c r="W36" s="796"/>
      <c r="X36" s="796"/>
      <c r="Y36" s="796"/>
      <c r="Z36" s="796"/>
      <c r="AA36" s="796"/>
      <c r="AB36" s="796"/>
      <c r="AC36" s="796"/>
      <c r="AD36" s="796"/>
      <c r="AE36" s="796"/>
      <c r="AF36" s="796"/>
      <c r="AG36" s="796"/>
      <c r="AH36" s="796"/>
      <c r="AI36" s="796"/>
      <c r="AJ36" s="796"/>
      <c r="AK36" s="796"/>
      <c r="AL36" s="796"/>
      <c r="AM36" s="796"/>
      <c r="AN36" s="796"/>
      <c r="AO36" s="796"/>
      <c r="AP36" s="796"/>
      <c r="AQ36" s="796"/>
      <c r="AR36" s="796"/>
      <c r="AS36" s="796"/>
      <c r="AT36" s="796"/>
      <c r="AU36" s="796"/>
      <c r="AW36" s="799"/>
      <c r="AX36" s="799"/>
      <c r="AY36" s="799"/>
      <c r="AZ36" s="799"/>
      <c r="BA36" s="799"/>
      <c r="BB36" s="799"/>
      <c r="BC36" s="799"/>
      <c r="BD36" s="799"/>
      <c r="BE36" s="799"/>
      <c r="BF36" s="799"/>
      <c r="BG36" s="799"/>
      <c r="BH36" s="799"/>
      <c r="BI36" s="799"/>
      <c r="BJ36" s="799"/>
      <c r="BK36" s="799"/>
      <c r="BL36" s="799"/>
      <c r="BM36" s="799"/>
      <c r="BN36" s="799"/>
      <c r="BO36" s="799"/>
      <c r="BP36" s="799"/>
      <c r="BQ36" s="799"/>
      <c r="BR36" s="799"/>
      <c r="BS36" s="799"/>
      <c r="BT36" s="799"/>
      <c r="BU36" s="799"/>
      <c r="BV36" s="799"/>
      <c r="BW36" s="799"/>
      <c r="BX36" s="799"/>
      <c r="BY36" s="799"/>
      <c r="BZ36" s="799"/>
      <c r="CA36" s="799"/>
      <c r="CB36" s="799"/>
      <c r="CC36" s="799"/>
      <c r="CD36" s="799"/>
    </row>
    <row r="37" spans="1:82" hidden="1">
      <c r="A37" s="1198" t="s">
        <v>2517</v>
      </c>
      <c r="B37" s="1130"/>
      <c r="C37" s="1569">
        <v>0</v>
      </c>
      <c r="F37">
        <f>+[72]BSPL!G241</f>
        <v>1521769</v>
      </c>
      <c r="G37">
        <v>0</v>
      </c>
      <c r="P37" s="783">
        <f>+([72]BSPL!F371-[72]BSPL!G371)</f>
        <v>5281816.0863537798</v>
      </c>
    </row>
    <row r="38" spans="1:82" hidden="1">
      <c r="A38" s="1198" t="s">
        <v>2518</v>
      </c>
      <c r="B38" s="1130"/>
      <c r="C38" s="1569">
        <v>0</v>
      </c>
      <c r="F38">
        <f>+[72]BSPL!G403</f>
        <v>775995</v>
      </c>
      <c r="G38">
        <v>179944</v>
      </c>
      <c r="P38" s="783">
        <f>+([72]BSPL!G22-[72]BSPL!F22)</f>
        <v>-12473</v>
      </c>
    </row>
    <row r="39" spans="1:82" hidden="1">
      <c r="A39" s="1198" t="s">
        <v>2519</v>
      </c>
      <c r="B39" s="1130"/>
      <c r="C39" s="1569">
        <v>0</v>
      </c>
    </row>
    <row r="40" spans="1:82" hidden="1">
      <c r="A40" s="1198" t="s">
        <v>2520</v>
      </c>
      <c r="B40" s="1130"/>
      <c r="C40" s="1569">
        <v>0</v>
      </c>
    </row>
    <row r="41" spans="1:82">
      <c r="A41" s="1198"/>
      <c r="B41" s="1130"/>
      <c r="C41" s="1569"/>
    </row>
    <row r="42" spans="1:82">
      <c r="A42" s="1190" t="s">
        <v>2521</v>
      </c>
      <c r="B42" s="1196">
        <f>SUM(B35:B41)</f>
        <v>-907.51787390000015</v>
      </c>
      <c r="C42" s="1570">
        <f>SUM(C35:C41)</f>
        <v>-607.92146597719807</v>
      </c>
    </row>
    <row r="43" spans="1:82">
      <c r="A43" s="1198" t="s">
        <v>841</v>
      </c>
      <c r="B43" s="1130"/>
      <c r="C43" s="1569"/>
    </row>
    <row r="44" spans="1:82">
      <c r="A44" s="1193" t="s">
        <v>2522</v>
      </c>
      <c r="B44" s="1568"/>
      <c r="C44" s="1569"/>
    </row>
    <row r="45" spans="1:82" hidden="1">
      <c r="A45" s="1198" t="s">
        <v>2523</v>
      </c>
      <c r="B45" s="1130"/>
      <c r="C45" s="1569">
        <v>0</v>
      </c>
    </row>
    <row r="46" spans="1:82">
      <c r="A46" s="1198" t="s">
        <v>2524</v>
      </c>
      <c r="B46" s="1130">
        <f>+(BSPL!G39-BSPL!H39+BSPL!G367-BSPL!H367+BSPL!G377-BSPL!H377+BSPL!G378-BSPL!H378)/B1</f>
        <v>1039.2345271000002</v>
      </c>
      <c r="C46" s="1569">
        <f>13266364.19/C1</f>
        <v>132.66364189999999</v>
      </c>
      <c r="E46" s="136" t="s">
        <v>2525</v>
      </c>
      <c r="F46">
        <f>+[72]BSPL!G40</f>
        <v>55675684.390000001</v>
      </c>
      <c r="G46">
        <v>56946206.869999997</v>
      </c>
      <c r="H46">
        <f>+F46-G46</f>
        <v>-1270522.4799999967</v>
      </c>
      <c r="I46">
        <v>-1270522.4799999967</v>
      </c>
      <c r="J46">
        <f>+H46-I46</f>
        <v>0</v>
      </c>
    </row>
    <row r="47" spans="1:82">
      <c r="A47" s="1198" t="s">
        <v>2526</v>
      </c>
      <c r="B47" s="1130">
        <f>+(BSPL!G372-BSPL!H372)/B1</f>
        <v>-83.348459099999999</v>
      </c>
      <c r="C47" s="1569">
        <f>21690743.6/C1</f>
        <v>216.90743600000002</v>
      </c>
      <c r="F47">
        <f>+[72]BSPL!G351+[72]BSPL!G400+[72]BSPL!G401</f>
        <v>49684017</v>
      </c>
      <c r="G47">
        <f>69355820+16692000</f>
        <v>86047820</v>
      </c>
      <c r="H47">
        <f>+F47-G47</f>
        <v>-36363803</v>
      </c>
    </row>
    <row r="48" spans="1:82">
      <c r="A48" s="1198" t="s">
        <v>2527</v>
      </c>
      <c r="B48" s="1130">
        <f>-'Cash Flow Lakhs'!B11</f>
        <v>-85.876410000000007</v>
      </c>
      <c r="C48" s="1569">
        <f>-7742222.15/C1</f>
        <v>-77.422221500000006</v>
      </c>
    </row>
    <row r="49" spans="1:53">
      <c r="A49" s="1198"/>
      <c r="B49" s="1572"/>
      <c r="C49" s="1569"/>
    </row>
    <row r="50" spans="1:53">
      <c r="A50" s="1190" t="s">
        <v>2528</v>
      </c>
      <c r="B50" s="1196">
        <f>SUM(B45:B49)</f>
        <v>870.00965800000017</v>
      </c>
      <c r="C50" s="1570">
        <f>SUM(C45:C49)</f>
        <v>272.1488564</v>
      </c>
    </row>
    <row r="51" spans="1:53">
      <c r="A51" s="1193"/>
      <c r="B51" s="1568"/>
      <c r="C51" s="1569"/>
    </row>
    <row r="52" spans="1:53">
      <c r="A52" s="1190" t="s">
        <v>2529</v>
      </c>
      <c r="B52" s="1196">
        <f>+B50+B42+B32</f>
        <v>1.6062901368795224</v>
      </c>
      <c r="C52" s="1570">
        <f>+C50+C42+C32</f>
        <v>-2.5472059271983767</v>
      </c>
    </row>
    <row r="53" spans="1:53">
      <c r="A53" s="1193"/>
      <c r="B53" s="1568"/>
      <c r="C53" s="1569"/>
    </row>
    <row r="54" spans="1:53">
      <c r="A54" s="1204" t="s">
        <v>2530</v>
      </c>
      <c r="B54" s="1573">
        <f>+C56</f>
        <v>0.79147435169369329</v>
      </c>
      <c r="C54" s="1571">
        <f>333868.027889207/C1</f>
        <v>3.33868027889207</v>
      </c>
      <c r="AW54" s="802"/>
    </row>
    <row r="55" spans="1:53">
      <c r="A55" s="1049"/>
      <c r="B55" s="1574"/>
      <c r="C55" s="1569"/>
    </row>
    <row r="56" spans="1:53">
      <c r="A56" s="1190" t="s">
        <v>2531</v>
      </c>
      <c r="B56" s="1196">
        <f>+B52+B54</f>
        <v>2.3977644885732157</v>
      </c>
      <c r="C56" s="1575">
        <f>+C52+C54</f>
        <v>0.79147435169369329</v>
      </c>
      <c r="D56">
        <v>-96650</v>
      </c>
      <c r="E56" s="136" t="e">
        <f>+#REF!+D56</f>
        <v>#REF!</v>
      </c>
      <c r="L56" s="782">
        <v>283262.68508566916</v>
      </c>
      <c r="AW56" s="784">
        <f>+BSPL!G18</f>
        <v>239775.64</v>
      </c>
      <c r="AX56" s="1080">
        <f>+AW56-B56</f>
        <v>239773.24223551145</v>
      </c>
      <c r="AY56" s="802"/>
      <c r="AZ56" s="802"/>
      <c r="BA56" s="802"/>
    </row>
    <row r="57" spans="1:53">
      <c r="A57" s="1217"/>
      <c r="C57" s="1218"/>
      <c r="D57" s="136"/>
      <c r="L57" s="805">
        <f>+C56-L56</f>
        <v>-283261.89361131744</v>
      </c>
      <c r="AW57" s="806"/>
    </row>
    <row r="58" spans="1:53" ht="0.75" customHeight="1">
      <c r="A58" s="1217"/>
      <c r="C58" s="1218"/>
    </row>
    <row r="59" spans="1:53" ht="34.5" customHeight="1">
      <c r="A59" s="2094" t="s">
        <v>2532</v>
      </c>
      <c r="B59" s="2095"/>
      <c r="C59" s="2096"/>
    </row>
    <row r="60" spans="1:53">
      <c r="A60" s="1219"/>
      <c r="B60" s="1220"/>
      <c r="C60" s="1221"/>
    </row>
    <row r="61" spans="1:53" ht="18">
      <c r="A61" s="1222" t="s">
        <v>823</v>
      </c>
      <c r="B61" s="1223"/>
      <c r="C61" s="1224" t="s">
        <v>824</v>
      </c>
    </row>
    <row r="62" spans="1:53" ht="18">
      <c r="A62" s="1225" t="s">
        <v>2533</v>
      </c>
      <c r="B62" s="1226"/>
      <c r="C62" s="1224"/>
    </row>
    <row r="63" spans="1:53" ht="18">
      <c r="A63" s="1225" t="s">
        <v>827</v>
      </c>
      <c r="B63" s="1226"/>
      <c r="C63" s="1224"/>
    </row>
    <row r="64" spans="1:53" ht="18">
      <c r="A64" s="1225" t="s">
        <v>2534</v>
      </c>
      <c r="B64" s="1226"/>
      <c r="C64" s="1224"/>
    </row>
    <row r="65" spans="1:3" ht="18">
      <c r="A65" s="1225"/>
      <c r="B65" s="1226"/>
      <c r="C65" s="1227" t="s">
        <v>826</v>
      </c>
    </row>
    <row r="66" spans="1:3" ht="18">
      <c r="A66" s="1225"/>
      <c r="B66" s="1226"/>
      <c r="C66" s="1228" t="s">
        <v>828</v>
      </c>
    </row>
    <row r="67" spans="1:3" ht="18">
      <c r="A67" s="1225"/>
      <c r="B67" s="1226"/>
      <c r="C67" s="1228"/>
    </row>
    <row r="68" spans="1:3" ht="18">
      <c r="A68" s="1225"/>
      <c r="B68" s="1226"/>
      <c r="C68" s="1228"/>
    </row>
    <row r="69" spans="1:3" ht="18">
      <c r="A69" s="1225"/>
      <c r="B69" s="1226"/>
      <c r="C69" s="1231" t="s">
        <v>830</v>
      </c>
    </row>
    <row r="70" spans="1:3" ht="18">
      <c r="A70" s="1225" t="s">
        <v>2789</v>
      </c>
      <c r="B70" s="1226"/>
      <c r="C70" s="1224" t="s">
        <v>831</v>
      </c>
    </row>
    <row r="71" spans="1:3" ht="18">
      <c r="A71" s="1225" t="s">
        <v>832</v>
      </c>
      <c r="B71" s="1226"/>
      <c r="C71" s="1228"/>
    </row>
    <row r="72" spans="1:3" ht="18">
      <c r="A72" s="1225" t="s">
        <v>2790</v>
      </c>
      <c r="B72" s="1226"/>
      <c r="C72" s="1224"/>
    </row>
    <row r="73" spans="1:3" ht="18">
      <c r="A73" s="1229" t="s">
        <v>834</v>
      </c>
      <c r="B73" s="1226"/>
      <c r="C73" s="1224"/>
    </row>
    <row r="74" spans="1:3" ht="37.5" customHeight="1">
      <c r="A74" s="1230" t="s">
        <v>2969</v>
      </c>
      <c r="B74" s="2097" t="str">
        <f>+[73]BSPL!E127</f>
        <v>JARNAIL SINGH SAINI - CHIEF FINANCIAL OFFICER &amp; EXECUTIVE DIRECTOR</v>
      </c>
      <c r="C74" s="2098"/>
    </row>
    <row r="75" spans="1:3" ht="20.25" customHeight="1">
      <c r="A75" s="1229"/>
      <c r="B75" s="1226"/>
      <c r="C75" s="1228" t="s">
        <v>835</v>
      </c>
    </row>
    <row r="76" spans="1:3" ht="18">
      <c r="A76" s="1225"/>
      <c r="B76" s="1226"/>
      <c r="C76" s="1228"/>
    </row>
    <row r="77" spans="1:3" ht="18">
      <c r="A77" s="1225"/>
      <c r="B77" s="1226"/>
      <c r="C77" s="1228"/>
    </row>
    <row r="78" spans="1:3" ht="18">
      <c r="A78" s="1225"/>
      <c r="B78" s="1226"/>
      <c r="C78" s="1228"/>
    </row>
    <row r="79" spans="1:3" ht="18">
      <c r="A79" s="1225"/>
      <c r="B79" s="1226"/>
      <c r="C79" s="1227" t="s">
        <v>2535</v>
      </c>
    </row>
    <row r="80" spans="1:3" ht="18">
      <c r="A80" s="1225"/>
      <c r="B80" s="1226"/>
      <c r="C80" s="1228" t="s">
        <v>837</v>
      </c>
    </row>
    <row r="81" spans="1:3" ht="18">
      <c r="A81" s="1225"/>
      <c r="B81" s="1226"/>
      <c r="C81" s="1228"/>
    </row>
    <row r="82" spans="1:3" ht="18">
      <c r="A82" s="1225"/>
      <c r="B82" s="1226"/>
      <c r="C82" s="1228"/>
    </row>
    <row r="83" spans="1:3" ht="18">
      <c r="A83" s="1225"/>
      <c r="B83" s="1226"/>
      <c r="C83" s="1228"/>
    </row>
    <row r="84" spans="1:3" ht="18">
      <c r="A84" s="1225"/>
      <c r="B84" s="1226"/>
      <c r="C84" s="1231" t="s">
        <v>838</v>
      </c>
    </row>
    <row r="85" spans="1:3" ht="18">
      <c r="A85" s="1225"/>
      <c r="B85" s="1226"/>
      <c r="C85" s="1224" t="s">
        <v>834</v>
      </c>
    </row>
    <row r="86" spans="1:3" ht="18.600000000000001" thickBot="1">
      <c r="A86" s="1232"/>
      <c r="B86" s="1233"/>
      <c r="C86" s="1234" t="str">
        <f>+A74</f>
        <v>Date: 27/05/2023</v>
      </c>
    </row>
  </sheetData>
  <mergeCells count="4">
    <mergeCell ref="A2:C2"/>
    <mergeCell ref="A3:C3"/>
    <mergeCell ref="A59:C59"/>
    <mergeCell ref="B74:C74"/>
  </mergeCells>
  <printOptions horizontalCentered="1"/>
  <pageMargins left="0.31496062992125984" right="0.31496062992125984" top="0.35433070866141736" bottom="0.35433070866141736" header="0.31496062992125984" footer="0.31496062992125984"/>
  <pageSetup scale="54" orientation="portrait" r:id="rId1"/>
  <colBreaks count="1" manualBreakCount="1">
    <brk id="3" min="1" max="8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530"/>
  <sheetViews>
    <sheetView topLeftCell="A483" zoomScale="85" zoomScaleNormal="85" workbookViewId="0">
      <selection activeCell="H46" sqref="H46"/>
    </sheetView>
  </sheetViews>
  <sheetFormatPr defaultColWidth="9.109375" defaultRowHeight="13.2"/>
  <cols>
    <col min="1" max="1" width="10.33203125" style="947" bestFit="1" customWidth="1"/>
    <col min="2" max="2" width="19" style="947" bestFit="1" customWidth="1"/>
    <col min="3" max="3" width="23.6640625" style="947" bestFit="1" customWidth="1"/>
    <col min="4" max="4" width="13.6640625" style="981" bestFit="1" customWidth="1"/>
    <col min="5" max="5" width="16.88671875" style="982" customWidth="1"/>
    <col min="6" max="6" width="27.44140625" style="947" bestFit="1" customWidth="1"/>
    <col min="7" max="7" width="21.6640625" style="983" bestFit="1" customWidth="1"/>
    <col min="8" max="8" width="17.6640625" style="984" bestFit="1" customWidth="1"/>
    <col min="9" max="9" width="18.44140625" style="985" bestFit="1" customWidth="1"/>
    <col min="10" max="10" width="25.88671875" style="983" customWidth="1"/>
    <col min="11" max="11" width="21.88671875" style="947" customWidth="1"/>
    <col min="12" max="12" width="22.109375" style="947" customWidth="1"/>
    <col min="13" max="13" width="9.88671875" style="947" bestFit="1" customWidth="1"/>
    <col min="14" max="14" width="20.5546875" style="947" customWidth="1"/>
    <col min="15" max="16" width="9.109375" style="947"/>
    <col min="17" max="17" width="13.109375" style="947" bestFit="1" customWidth="1"/>
    <col min="18" max="16384" width="9.109375" style="947"/>
  </cols>
  <sheetData>
    <row r="1" spans="1:17" ht="18">
      <c r="A1" s="2377" t="s">
        <v>523</v>
      </c>
      <c r="B1" s="2377"/>
      <c r="C1" s="2377"/>
      <c r="D1" s="2377"/>
      <c r="E1" s="2377"/>
      <c r="F1" s="2377"/>
      <c r="G1" s="2377"/>
      <c r="H1" s="2377"/>
      <c r="I1" s="2377"/>
      <c r="J1" s="2377"/>
      <c r="K1" s="2377"/>
      <c r="L1" s="2377"/>
      <c r="M1" s="2377"/>
      <c r="N1" s="2377"/>
      <c r="Q1" s="948">
        <v>45016</v>
      </c>
    </row>
    <row r="2" spans="1:17">
      <c r="A2" s="949"/>
      <c r="B2" s="949"/>
      <c r="C2" s="949"/>
      <c r="D2" s="949"/>
      <c r="E2" s="949"/>
      <c r="F2" s="949"/>
      <c r="G2" s="949"/>
      <c r="H2" s="949"/>
      <c r="I2" s="949"/>
      <c r="J2" s="949"/>
      <c r="K2" s="949"/>
      <c r="L2" s="949"/>
      <c r="M2" s="949"/>
      <c r="N2" s="949"/>
    </row>
    <row r="3" spans="1:17">
      <c r="A3" s="2378" t="s">
        <v>2731</v>
      </c>
      <c r="B3" s="2378"/>
      <c r="C3" s="2378"/>
      <c r="D3" s="2378"/>
      <c r="E3" s="2378"/>
      <c r="F3" s="2378"/>
      <c r="G3" s="2378"/>
      <c r="H3" s="2378"/>
      <c r="I3" s="2378"/>
      <c r="J3" s="2378"/>
      <c r="K3" s="2378"/>
      <c r="L3" s="2378"/>
      <c r="M3" s="2378"/>
      <c r="N3" s="2378"/>
    </row>
    <row r="4" spans="1:17">
      <c r="A4" s="950"/>
      <c r="B4" s="951"/>
      <c r="C4" s="949"/>
      <c r="D4" s="950"/>
      <c r="E4" s="952"/>
      <c r="F4" s="953"/>
      <c r="G4" s="954"/>
      <c r="H4" s="952"/>
      <c r="I4" s="947"/>
      <c r="J4" s="947"/>
    </row>
    <row r="5" spans="1:17">
      <c r="A5" s="2379" t="s">
        <v>2122</v>
      </c>
      <c r="B5" s="2380" t="s">
        <v>532</v>
      </c>
      <c r="C5" s="2380" t="s">
        <v>2732</v>
      </c>
      <c r="D5" s="2379" t="s">
        <v>2733</v>
      </c>
      <c r="E5" s="2373" t="s">
        <v>2082</v>
      </c>
      <c r="F5" s="2381" t="s">
        <v>2734</v>
      </c>
      <c r="G5" s="2381" t="s">
        <v>2735</v>
      </c>
      <c r="H5" s="2373" t="s">
        <v>2736</v>
      </c>
      <c r="I5" s="2373" t="s">
        <v>2737</v>
      </c>
      <c r="J5" s="2373" t="s">
        <v>2738</v>
      </c>
      <c r="K5" s="2373"/>
      <c r="L5" s="2373"/>
      <c r="M5" s="2373"/>
      <c r="N5" s="2373"/>
    </row>
    <row r="6" spans="1:17">
      <c r="A6" s="2379"/>
      <c r="B6" s="2380"/>
      <c r="C6" s="2380"/>
      <c r="D6" s="2379"/>
      <c r="E6" s="2373"/>
      <c r="F6" s="2381"/>
      <c r="G6" s="2381"/>
      <c r="H6" s="2373"/>
      <c r="I6" s="2373"/>
      <c r="J6" s="955" t="s">
        <v>2739</v>
      </c>
      <c r="K6" s="955" t="s">
        <v>2740</v>
      </c>
      <c r="L6" s="955" t="s">
        <v>2741</v>
      </c>
      <c r="M6" s="955" t="s">
        <v>2742</v>
      </c>
      <c r="N6" s="955" t="s">
        <v>2743</v>
      </c>
    </row>
    <row r="7" spans="1:17" ht="15.6">
      <c r="A7" s="956">
        <v>1</v>
      </c>
      <c r="B7" s="957" t="s">
        <v>31</v>
      </c>
      <c r="C7" s="956"/>
      <c r="D7" s="958">
        <v>3061</v>
      </c>
      <c r="E7" s="959">
        <v>44989</v>
      </c>
      <c r="F7" s="960">
        <v>511057</v>
      </c>
      <c r="G7" s="956">
        <v>30</v>
      </c>
      <c r="H7" s="961">
        <f t="shared" ref="H7:H79" si="0">+E7+G7</f>
        <v>45019</v>
      </c>
      <c r="I7" s="962">
        <f t="shared" ref="I7:I79" si="1">+$Q$1-H7+1</f>
        <v>-2</v>
      </c>
      <c r="J7" s="962">
        <f>IF(I7&lt;=30,F10,0)</f>
        <v>509902</v>
      </c>
      <c r="K7" s="962">
        <f t="shared" ref="K7:K79" si="2">IF(I7&lt;=30,0,IF(I7&gt;60,0,F7))</f>
        <v>0</v>
      </c>
      <c r="L7" s="962">
        <f t="shared" ref="L7:L79" si="3">IF(I7&lt;=60,0,IF(I7&gt;90,0,F7))</f>
        <v>0</v>
      </c>
      <c r="M7" s="962">
        <f t="shared" ref="M7:M79" si="4">IF(I7&lt;=90,0,IF(I7&gt;120,0,F7))</f>
        <v>0</v>
      </c>
      <c r="N7" s="962">
        <f t="shared" ref="N7:N79" si="5">IF(I7&lt;=120,0,F7)</f>
        <v>0</v>
      </c>
    </row>
    <row r="8" spans="1:17" ht="15.6">
      <c r="A8" s="956"/>
      <c r="B8" s="957" t="s">
        <v>2744</v>
      </c>
      <c r="C8" s="956"/>
      <c r="D8" s="958"/>
      <c r="E8" s="959">
        <v>44989</v>
      </c>
      <c r="F8" s="960">
        <v>-644</v>
      </c>
      <c r="G8" s="956"/>
      <c r="H8" s="961"/>
      <c r="I8" s="962"/>
      <c r="J8" s="962"/>
      <c r="K8" s="962"/>
      <c r="L8" s="962"/>
      <c r="M8" s="962"/>
      <c r="N8" s="962"/>
    </row>
    <row r="9" spans="1:17" ht="15.6">
      <c r="A9" s="956"/>
      <c r="B9" s="957" t="s">
        <v>2744</v>
      </c>
      <c r="C9" s="956"/>
      <c r="D9" s="958"/>
      <c r="E9" s="959">
        <v>45016</v>
      </c>
      <c r="F9" s="960">
        <v>-511</v>
      </c>
      <c r="G9" s="956"/>
      <c r="H9" s="961"/>
      <c r="I9" s="962"/>
      <c r="J9" s="962"/>
      <c r="K9" s="962"/>
      <c r="L9" s="962"/>
      <c r="M9" s="962"/>
      <c r="N9" s="962"/>
    </row>
    <row r="10" spans="1:17" ht="15.6">
      <c r="A10" s="956"/>
      <c r="B10" s="957"/>
      <c r="C10" s="956"/>
      <c r="D10" s="958"/>
      <c r="E10" s="959"/>
      <c r="F10" s="963">
        <f>SUM(F7:F9)</f>
        <v>509902</v>
      </c>
      <c r="G10" s="956"/>
      <c r="H10" s="961"/>
      <c r="I10" s="962"/>
      <c r="J10" s="962"/>
      <c r="K10" s="962"/>
      <c r="L10" s="962"/>
      <c r="M10" s="962"/>
      <c r="N10" s="962"/>
    </row>
    <row r="11" spans="1:17" ht="15.6">
      <c r="A11" s="956"/>
      <c r="B11" s="957"/>
      <c r="C11" s="956"/>
      <c r="D11" s="958"/>
      <c r="E11" s="959"/>
      <c r="F11" s="960"/>
      <c r="G11" s="956"/>
      <c r="H11" s="961"/>
      <c r="I11" s="962"/>
      <c r="J11" s="962"/>
      <c r="K11" s="962"/>
      <c r="L11" s="962"/>
      <c r="M11" s="962"/>
      <c r="N11" s="962"/>
    </row>
    <row r="12" spans="1:17" ht="15.6">
      <c r="A12" s="956">
        <f>A7+1</f>
        <v>2</v>
      </c>
      <c r="B12" s="957" t="s">
        <v>17</v>
      </c>
      <c r="C12" s="956"/>
      <c r="D12" s="958">
        <v>3051</v>
      </c>
      <c r="E12" s="959">
        <v>44987</v>
      </c>
      <c r="F12" s="964">
        <v>201823</v>
      </c>
      <c r="G12" s="956">
        <v>30</v>
      </c>
      <c r="H12" s="961">
        <f t="shared" si="0"/>
        <v>45017</v>
      </c>
      <c r="I12" s="962">
        <f t="shared" si="1"/>
        <v>0</v>
      </c>
      <c r="J12" s="962">
        <f t="shared" ref="J12:J79" si="6">IF(I12&lt;=30,F12,0)</f>
        <v>201823</v>
      </c>
      <c r="K12" s="962">
        <f t="shared" si="2"/>
        <v>0</v>
      </c>
      <c r="L12" s="962">
        <f t="shared" si="3"/>
        <v>0</v>
      </c>
      <c r="M12" s="962">
        <f t="shared" si="4"/>
        <v>0</v>
      </c>
      <c r="N12" s="962">
        <f t="shared" si="5"/>
        <v>0</v>
      </c>
    </row>
    <row r="13" spans="1:17" ht="15.6">
      <c r="A13" s="956"/>
      <c r="B13" s="956"/>
      <c r="C13" s="956"/>
      <c r="D13" s="958">
        <v>3055</v>
      </c>
      <c r="E13" s="959">
        <v>44988</v>
      </c>
      <c r="F13" s="964">
        <v>273224</v>
      </c>
      <c r="G13" s="956">
        <v>30</v>
      </c>
      <c r="H13" s="961">
        <f t="shared" si="0"/>
        <v>45018</v>
      </c>
      <c r="I13" s="962">
        <f t="shared" si="1"/>
        <v>-1</v>
      </c>
      <c r="J13" s="962">
        <f t="shared" si="6"/>
        <v>273224</v>
      </c>
      <c r="K13" s="962">
        <f t="shared" si="2"/>
        <v>0</v>
      </c>
      <c r="L13" s="962">
        <f t="shared" si="3"/>
        <v>0</v>
      </c>
      <c r="M13" s="962">
        <f t="shared" si="4"/>
        <v>0</v>
      </c>
      <c r="N13" s="962">
        <f t="shared" si="5"/>
        <v>0</v>
      </c>
    </row>
    <row r="14" spans="1:17" ht="15.6">
      <c r="A14" s="956"/>
      <c r="B14" s="956"/>
      <c r="C14" s="956"/>
      <c r="D14" s="958">
        <v>3056</v>
      </c>
      <c r="E14" s="959">
        <v>44988</v>
      </c>
      <c r="F14" s="964">
        <v>223528</v>
      </c>
      <c r="G14" s="956">
        <v>30</v>
      </c>
      <c r="H14" s="961">
        <f t="shared" si="0"/>
        <v>45018</v>
      </c>
      <c r="I14" s="962">
        <f t="shared" si="1"/>
        <v>-1</v>
      </c>
      <c r="J14" s="962">
        <f t="shared" si="6"/>
        <v>223528</v>
      </c>
      <c r="K14" s="962">
        <f t="shared" si="2"/>
        <v>0</v>
      </c>
      <c r="L14" s="962">
        <f t="shared" si="3"/>
        <v>0</v>
      </c>
      <c r="M14" s="962">
        <f t="shared" si="4"/>
        <v>0</v>
      </c>
      <c r="N14" s="962">
        <f t="shared" si="5"/>
        <v>0</v>
      </c>
    </row>
    <row r="15" spans="1:17" ht="15.6">
      <c r="A15" s="956"/>
      <c r="B15" s="956"/>
      <c r="C15" s="956"/>
      <c r="D15" s="958">
        <v>3058</v>
      </c>
      <c r="E15" s="959">
        <v>44988</v>
      </c>
      <c r="F15" s="964">
        <v>534884</v>
      </c>
      <c r="G15" s="956">
        <v>30</v>
      </c>
      <c r="H15" s="961">
        <f t="shared" si="0"/>
        <v>45018</v>
      </c>
      <c r="I15" s="962">
        <f t="shared" si="1"/>
        <v>-1</v>
      </c>
      <c r="J15" s="962">
        <f t="shared" si="6"/>
        <v>534884</v>
      </c>
      <c r="K15" s="962">
        <f t="shared" si="2"/>
        <v>0</v>
      </c>
      <c r="L15" s="962">
        <f t="shared" si="3"/>
        <v>0</v>
      </c>
      <c r="M15" s="962">
        <f t="shared" si="4"/>
        <v>0</v>
      </c>
      <c r="N15" s="962">
        <f t="shared" si="5"/>
        <v>0</v>
      </c>
    </row>
    <row r="16" spans="1:17" ht="15.6">
      <c r="A16" s="956"/>
      <c r="B16" s="956"/>
      <c r="C16" s="956"/>
      <c r="D16" s="958">
        <v>3059</v>
      </c>
      <c r="E16" s="959">
        <v>44988</v>
      </c>
      <c r="F16" s="964">
        <v>208226</v>
      </c>
      <c r="G16" s="956">
        <v>30</v>
      </c>
      <c r="H16" s="961">
        <f t="shared" si="0"/>
        <v>45018</v>
      </c>
      <c r="I16" s="962">
        <f t="shared" si="1"/>
        <v>-1</v>
      </c>
      <c r="J16" s="962">
        <f t="shared" si="6"/>
        <v>208226</v>
      </c>
      <c r="K16" s="962">
        <f t="shared" si="2"/>
        <v>0</v>
      </c>
      <c r="L16" s="962">
        <f t="shared" si="3"/>
        <v>0</v>
      </c>
      <c r="M16" s="962">
        <f t="shared" si="4"/>
        <v>0</v>
      </c>
      <c r="N16" s="962">
        <f t="shared" si="5"/>
        <v>0</v>
      </c>
    </row>
    <row r="17" spans="1:14" ht="15.6">
      <c r="A17" s="956"/>
      <c r="B17" s="956"/>
      <c r="C17" s="956"/>
      <c r="D17" s="958">
        <v>3060</v>
      </c>
      <c r="E17" s="959">
        <v>44988</v>
      </c>
      <c r="F17" s="964">
        <v>210690</v>
      </c>
      <c r="G17" s="956">
        <v>30</v>
      </c>
      <c r="H17" s="961">
        <f t="shared" si="0"/>
        <v>45018</v>
      </c>
      <c r="I17" s="962">
        <f t="shared" si="1"/>
        <v>-1</v>
      </c>
      <c r="J17" s="962">
        <f t="shared" si="6"/>
        <v>210690</v>
      </c>
      <c r="K17" s="962">
        <f t="shared" si="2"/>
        <v>0</v>
      </c>
      <c r="L17" s="962">
        <f t="shared" si="3"/>
        <v>0</v>
      </c>
      <c r="M17" s="962">
        <f t="shared" si="4"/>
        <v>0</v>
      </c>
      <c r="N17" s="962">
        <f t="shared" si="5"/>
        <v>0</v>
      </c>
    </row>
    <row r="18" spans="1:14" ht="15.6">
      <c r="A18" s="956"/>
      <c r="B18" s="956"/>
      <c r="C18" s="956"/>
      <c r="D18" s="958">
        <v>3064</v>
      </c>
      <c r="E18" s="959">
        <v>44989</v>
      </c>
      <c r="F18" s="964">
        <v>225645</v>
      </c>
      <c r="G18" s="956">
        <v>30</v>
      </c>
      <c r="H18" s="961">
        <f t="shared" si="0"/>
        <v>45019</v>
      </c>
      <c r="I18" s="962">
        <f t="shared" si="1"/>
        <v>-2</v>
      </c>
      <c r="J18" s="962">
        <f t="shared" si="6"/>
        <v>225645</v>
      </c>
      <c r="K18" s="962">
        <f t="shared" si="2"/>
        <v>0</v>
      </c>
      <c r="L18" s="962">
        <f t="shared" si="3"/>
        <v>0</v>
      </c>
      <c r="M18" s="962">
        <f t="shared" si="4"/>
        <v>0</v>
      </c>
      <c r="N18" s="962">
        <f t="shared" si="5"/>
        <v>0</v>
      </c>
    </row>
    <row r="19" spans="1:14" ht="15.6">
      <c r="A19" s="956"/>
      <c r="B19" s="956"/>
      <c r="C19" s="956"/>
      <c r="D19" s="958">
        <v>3066</v>
      </c>
      <c r="E19" s="959">
        <v>44989</v>
      </c>
      <c r="F19" s="964">
        <v>230403</v>
      </c>
      <c r="G19" s="956">
        <v>30</v>
      </c>
      <c r="H19" s="961">
        <f t="shared" si="0"/>
        <v>45019</v>
      </c>
      <c r="I19" s="962">
        <f t="shared" si="1"/>
        <v>-2</v>
      </c>
      <c r="J19" s="962">
        <f t="shared" si="6"/>
        <v>230403</v>
      </c>
      <c r="K19" s="962">
        <f t="shared" si="2"/>
        <v>0</v>
      </c>
      <c r="L19" s="962">
        <f t="shared" si="3"/>
        <v>0</v>
      </c>
      <c r="M19" s="962">
        <f t="shared" si="4"/>
        <v>0</v>
      </c>
      <c r="N19" s="962">
        <f t="shared" si="5"/>
        <v>0</v>
      </c>
    </row>
    <row r="20" spans="1:14" ht="15.6">
      <c r="A20" s="956"/>
      <c r="B20" s="956"/>
      <c r="C20" s="956"/>
      <c r="D20" s="958">
        <v>3070</v>
      </c>
      <c r="E20" s="959">
        <v>44989</v>
      </c>
      <c r="F20" s="964">
        <v>295529</v>
      </c>
      <c r="G20" s="956">
        <v>30</v>
      </c>
      <c r="H20" s="961">
        <f t="shared" si="0"/>
        <v>45019</v>
      </c>
      <c r="I20" s="962">
        <f t="shared" si="1"/>
        <v>-2</v>
      </c>
      <c r="J20" s="962">
        <f t="shared" si="6"/>
        <v>295529</v>
      </c>
      <c r="K20" s="962">
        <f t="shared" si="2"/>
        <v>0</v>
      </c>
      <c r="L20" s="962">
        <f t="shared" si="3"/>
        <v>0</v>
      </c>
      <c r="M20" s="962">
        <f t="shared" si="4"/>
        <v>0</v>
      </c>
      <c r="N20" s="962">
        <f t="shared" si="5"/>
        <v>0</v>
      </c>
    </row>
    <row r="21" spans="1:14" ht="15.6">
      <c r="A21" s="956"/>
      <c r="B21" s="956"/>
      <c r="C21" s="956"/>
      <c r="D21" s="958">
        <v>3072</v>
      </c>
      <c r="E21" s="959">
        <v>44990</v>
      </c>
      <c r="F21" s="964">
        <v>204780</v>
      </c>
      <c r="G21" s="956">
        <v>30</v>
      </c>
      <c r="H21" s="961">
        <f t="shared" si="0"/>
        <v>45020</v>
      </c>
      <c r="I21" s="962">
        <f t="shared" si="1"/>
        <v>-3</v>
      </c>
      <c r="J21" s="962">
        <f t="shared" si="6"/>
        <v>204780</v>
      </c>
      <c r="K21" s="962">
        <f t="shared" si="2"/>
        <v>0</v>
      </c>
      <c r="L21" s="962">
        <f t="shared" si="3"/>
        <v>0</v>
      </c>
      <c r="M21" s="962">
        <f t="shared" si="4"/>
        <v>0</v>
      </c>
      <c r="N21" s="962">
        <f t="shared" si="5"/>
        <v>0</v>
      </c>
    </row>
    <row r="22" spans="1:14" ht="15.6">
      <c r="A22" s="956"/>
      <c r="B22" s="956"/>
      <c r="C22" s="956"/>
      <c r="D22" s="958">
        <v>3077</v>
      </c>
      <c r="E22" s="959">
        <v>44990</v>
      </c>
      <c r="F22" s="964">
        <v>208283</v>
      </c>
      <c r="G22" s="956">
        <v>30</v>
      </c>
      <c r="H22" s="961">
        <f t="shared" si="0"/>
        <v>45020</v>
      </c>
      <c r="I22" s="962">
        <f t="shared" si="1"/>
        <v>-3</v>
      </c>
      <c r="J22" s="962">
        <f t="shared" si="6"/>
        <v>208283</v>
      </c>
      <c r="K22" s="962">
        <f t="shared" si="2"/>
        <v>0</v>
      </c>
      <c r="L22" s="962">
        <f t="shared" si="3"/>
        <v>0</v>
      </c>
      <c r="M22" s="962">
        <f t="shared" si="4"/>
        <v>0</v>
      </c>
      <c r="N22" s="962">
        <f t="shared" si="5"/>
        <v>0</v>
      </c>
    </row>
    <row r="23" spans="1:14" ht="15.6">
      <c r="A23" s="956"/>
      <c r="B23" s="956"/>
      <c r="C23" s="956"/>
      <c r="D23" s="958">
        <v>3079</v>
      </c>
      <c r="E23" s="959">
        <v>44991</v>
      </c>
      <c r="F23" s="964">
        <v>269917</v>
      </c>
      <c r="G23" s="956">
        <v>30</v>
      </c>
      <c r="H23" s="961">
        <f t="shared" si="0"/>
        <v>45021</v>
      </c>
      <c r="I23" s="962">
        <f t="shared" si="1"/>
        <v>-4</v>
      </c>
      <c r="J23" s="962">
        <f t="shared" si="6"/>
        <v>269917</v>
      </c>
      <c r="K23" s="962">
        <f t="shared" si="2"/>
        <v>0</v>
      </c>
      <c r="L23" s="962">
        <f t="shared" si="3"/>
        <v>0</v>
      </c>
      <c r="M23" s="962">
        <f t="shared" si="4"/>
        <v>0</v>
      </c>
      <c r="N23" s="962">
        <f t="shared" si="5"/>
        <v>0</v>
      </c>
    </row>
    <row r="24" spans="1:14" ht="15.6">
      <c r="A24" s="956"/>
      <c r="B24" s="956"/>
      <c r="C24" s="956"/>
      <c r="D24" s="958">
        <v>3082</v>
      </c>
      <c r="E24" s="959">
        <v>44991</v>
      </c>
      <c r="F24" s="964">
        <v>195679</v>
      </c>
      <c r="G24" s="956">
        <v>30</v>
      </c>
      <c r="H24" s="961">
        <f t="shared" si="0"/>
        <v>45021</v>
      </c>
      <c r="I24" s="962">
        <f t="shared" si="1"/>
        <v>-4</v>
      </c>
      <c r="J24" s="962">
        <f t="shared" si="6"/>
        <v>195679</v>
      </c>
      <c r="K24" s="962">
        <f t="shared" si="2"/>
        <v>0</v>
      </c>
      <c r="L24" s="962">
        <f t="shared" si="3"/>
        <v>0</v>
      </c>
      <c r="M24" s="962">
        <f t="shared" si="4"/>
        <v>0</v>
      </c>
      <c r="N24" s="962">
        <f t="shared" si="5"/>
        <v>0</v>
      </c>
    </row>
    <row r="25" spans="1:14" ht="15.6">
      <c r="A25" s="956"/>
      <c r="B25" s="956"/>
      <c r="C25" s="956"/>
      <c r="D25" s="958">
        <v>3087</v>
      </c>
      <c r="E25" s="959">
        <v>44991</v>
      </c>
      <c r="F25" s="964">
        <v>224693</v>
      </c>
      <c r="G25" s="956">
        <v>30</v>
      </c>
      <c r="H25" s="961">
        <f t="shared" si="0"/>
        <v>45021</v>
      </c>
      <c r="I25" s="962">
        <f t="shared" si="1"/>
        <v>-4</v>
      </c>
      <c r="J25" s="962">
        <f t="shared" si="6"/>
        <v>224693</v>
      </c>
      <c r="K25" s="962">
        <f t="shared" si="2"/>
        <v>0</v>
      </c>
      <c r="L25" s="962">
        <f t="shared" si="3"/>
        <v>0</v>
      </c>
      <c r="M25" s="962">
        <f t="shared" si="4"/>
        <v>0</v>
      </c>
      <c r="N25" s="962">
        <f t="shared" si="5"/>
        <v>0</v>
      </c>
    </row>
    <row r="26" spans="1:14" ht="15.6">
      <c r="A26" s="956"/>
      <c r="B26" s="956"/>
      <c r="C26" s="956"/>
      <c r="D26" s="958">
        <v>3094</v>
      </c>
      <c r="E26" s="959">
        <v>44994</v>
      </c>
      <c r="F26" s="964">
        <v>206264</v>
      </c>
      <c r="G26" s="956">
        <v>30</v>
      </c>
      <c r="H26" s="961">
        <f t="shared" si="0"/>
        <v>45024</v>
      </c>
      <c r="I26" s="962">
        <f t="shared" si="1"/>
        <v>-7</v>
      </c>
      <c r="J26" s="962">
        <f t="shared" si="6"/>
        <v>206264</v>
      </c>
      <c r="K26" s="962">
        <f t="shared" si="2"/>
        <v>0</v>
      </c>
      <c r="L26" s="962">
        <f t="shared" si="3"/>
        <v>0</v>
      </c>
      <c r="M26" s="962">
        <f t="shared" si="4"/>
        <v>0</v>
      </c>
      <c r="N26" s="962">
        <f t="shared" si="5"/>
        <v>0</v>
      </c>
    </row>
    <row r="27" spans="1:14" ht="15.6">
      <c r="A27" s="956"/>
      <c r="B27" s="956"/>
      <c r="C27" s="956"/>
      <c r="D27" s="958">
        <v>3109</v>
      </c>
      <c r="E27" s="959">
        <v>44995</v>
      </c>
      <c r="F27" s="964">
        <v>251803</v>
      </c>
      <c r="G27" s="956">
        <v>30</v>
      </c>
      <c r="H27" s="961">
        <f t="shared" si="0"/>
        <v>45025</v>
      </c>
      <c r="I27" s="962">
        <f t="shared" si="1"/>
        <v>-8</v>
      </c>
      <c r="J27" s="962">
        <f t="shared" si="6"/>
        <v>251803</v>
      </c>
      <c r="K27" s="962">
        <f t="shared" si="2"/>
        <v>0</v>
      </c>
      <c r="L27" s="962">
        <f t="shared" si="3"/>
        <v>0</v>
      </c>
      <c r="M27" s="962">
        <f t="shared" si="4"/>
        <v>0</v>
      </c>
      <c r="N27" s="962">
        <f t="shared" si="5"/>
        <v>0</v>
      </c>
    </row>
    <row r="28" spans="1:14" ht="15.6">
      <c r="A28" s="956"/>
      <c r="B28" s="956"/>
      <c r="C28" s="956"/>
      <c r="D28" s="958">
        <v>3114</v>
      </c>
      <c r="E28" s="959">
        <v>44995</v>
      </c>
      <c r="F28" s="964">
        <v>205715</v>
      </c>
      <c r="G28" s="956">
        <v>30</v>
      </c>
      <c r="H28" s="961">
        <f t="shared" si="0"/>
        <v>45025</v>
      </c>
      <c r="I28" s="962">
        <f t="shared" si="1"/>
        <v>-8</v>
      </c>
      <c r="J28" s="962">
        <f t="shared" si="6"/>
        <v>205715</v>
      </c>
      <c r="K28" s="962">
        <f t="shared" si="2"/>
        <v>0</v>
      </c>
      <c r="L28" s="962">
        <f t="shared" si="3"/>
        <v>0</v>
      </c>
      <c r="M28" s="962">
        <f t="shared" si="4"/>
        <v>0</v>
      </c>
      <c r="N28" s="962">
        <f t="shared" si="5"/>
        <v>0</v>
      </c>
    </row>
    <row r="29" spans="1:14" ht="15.6">
      <c r="A29" s="956"/>
      <c r="B29" s="956"/>
      <c r="C29" s="956"/>
      <c r="D29" s="958">
        <v>3121</v>
      </c>
      <c r="E29" s="959">
        <v>44996</v>
      </c>
      <c r="F29" s="964">
        <v>221030</v>
      </c>
      <c r="G29" s="956">
        <v>30</v>
      </c>
      <c r="H29" s="961">
        <f t="shared" si="0"/>
        <v>45026</v>
      </c>
      <c r="I29" s="962">
        <f t="shared" si="1"/>
        <v>-9</v>
      </c>
      <c r="J29" s="962">
        <f t="shared" si="6"/>
        <v>221030</v>
      </c>
      <c r="K29" s="962">
        <f t="shared" si="2"/>
        <v>0</v>
      </c>
      <c r="L29" s="962">
        <f t="shared" si="3"/>
        <v>0</v>
      </c>
      <c r="M29" s="962">
        <f t="shared" si="4"/>
        <v>0</v>
      </c>
      <c r="N29" s="962">
        <f t="shared" si="5"/>
        <v>0</v>
      </c>
    </row>
    <row r="30" spans="1:14" ht="15.6">
      <c r="A30" s="956"/>
      <c r="B30" s="956"/>
      <c r="C30" s="956"/>
      <c r="D30" s="958">
        <v>3122</v>
      </c>
      <c r="E30" s="959">
        <v>44996</v>
      </c>
      <c r="F30" s="964">
        <v>229969</v>
      </c>
      <c r="G30" s="956">
        <v>30</v>
      </c>
      <c r="H30" s="961">
        <f t="shared" si="0"/>
        <v>45026</v>
      </c>
      <c r="I30" s="962">
        <f t="shared" si="1"/>
        <v>-9</v>
      </c>
      <c r="J30" s="962">
        <f t="shared" si="6"/>
        <v>229969</v>
      </c>
      <c r="K30" s="962">
        <f t="shared" si="2"/>
        <v>0</v>
      </c>
      <c r="L30" s="962">
        <f t="shared" si="3"/>
        <v>0</v>
      </c>
      <c r="M30" s="962">
        <f t="shared" si="4"/>
        <v>0</v>
      </c>
      <c r="N30" s="962">
        <f t="shared" si="5"/>
        <v>0</v>
      </c>
    </row>
    <row r="31" spans="1:14" ht="15.6">
      <c r="A31" s="956"/>
      <c r="B31" s="956"/>
      <c r="C31" s="956"/>
      <c r="D31" s="958">
        <v>3125</v>
      </c>
      <c r="E31" s="959">
        <v>44996</v>
      </c>
      <c r="F31" s="964">
        <v>195016</v>
      </c>
      <c r="G31" s="956">
        <v>30</v>
      </c>
      <c r="H31" s="961">
        <f t="shared" si="0"/>
        <v>45026</v>
      </c>
      <c r="I31" s="962">
        <f t="shared" si="1"/>
        <v>-9</v>
      </c>
      <c r="J31" s="962">
        <f t="shared" si="6"/>
        <v>195016</v>
      </c>
      <c r="K31" s="962">
        <f t="shared" si="2"/>
        <v>0</v>
      </c>
      <c r="L31" s="962">
        <f t="shared" si="3"/>
        <v>0</v>
      </c>
      <c r="M31" s="962">
        <f t="shared" si="4"/>
        <v>0</v>
      </c>
      <c r="N31" s="962">
        <f t="shared" si="5"/>
        <v>0</v>
      </c>
    </row>
    <row r="32" spans="1:14" ht="15.6">
      <c r="A32" s="956"/>
      <c r="B32" s="956"/>
      <c r="C32" s="956"/>
      <c r="D32" s="958">
        <v>3132</v>
      </c>
      <c r="E32" s="959">
        <v>44997</v>
      </c>
      <c r="F32" s="964">
        <v>195249</v>
      </c>
      <c r="G32" s="956">
        <v>30</v>
      </c>
      <c r="H32" s="961">
        <f t="shared" si="0"/>
        <v>45027</v>
      </c>
      <c r="I32" s="962">
        <f t="shared" si="1"/>
        <v>-10</v>
      </c>
      <c r="J32" s="962">
        <f t="shared" si="6"/>
        <v>195249</v>
      </c>
      <c r="K32" s="962">
        <f t="shared" si="2"/>
        <v>0</v>
      </c>
      <c r="L32" s="962">
        <f t="shared" si="3"/>
        <v>0</v>
      </c>
      <c r="M32" s="962">
        <f t="shared" si="4"/>
        <v>0</v>
      </c>
      <c r="N32" s="962">
        <f t="shared" si="5"/>
        <v>0</v>
      </c>
    </row>
    <row r="33" spans="1:14" ht="15.6">
      <c r="A33" s="956"/>
      <c r="B33" s="956"/>
      <c r="C33" s="956"/>
      <c r="D33" s="958">
        <v>3137</v>
      </c>
      <c r="E33" s="959">
        <v>44997</v>
      </c>
      <c r="F33" s="964">
        <v>209177</v>
      </c>
      <c r="G33" s="956">
        <v>30</v>
      </c>
      <c r="H33" s="961">
        <f t="shared" si="0"/>
        <v>45027</v>
      </c>
      <c r="I33" s="962">
        <f t="shared" si="1"/>
        <v>-10</v>
      </c>
      <c r="J33" s="962">
        <f t="shared" si="6"/>
        <v>209177</v>
      </c>
      <c r="K33" s="962">
        <f t="shared" si="2"/>
        <v>0</v>
      </c>
      <c r="L33" s="962">
        <f t="shared" si="3"/>
        <v>0</v>
      </c>
      <c r="M33" s="962">
        <f t="shared" si="4"/>
        <v>0</v>
      </c>
      <c r="N33" s="962">
        <f t="shared" si="5"/>
        <v>0</v>
      </c>
    </row>
    <row r="34" spans="1:14" ht="15.6">
      <c r="A34" s="956"/>
      <c r="B34" s="956"/>
      <c r="C34" s="956"/>
      <c r="D34" s="958">
        <v>3138</v>
      </c>
      <c r="E34" s="959">
        <v>44998</v>
      </c>
      <c r="F34" s="964">
        <v>232826</v>
      </c>
      <c r="G34" s="956">
        <v>30</v>
      </c>
      <c r="H34" s="961">
        <f t="shared" si="0"/>
        <v>45028</v>
      </c>
      <c r="I34" s="962">
        <f t="shared" si="1"/>
        <v>-11</v>
      </c>
      <c r="J34" s="962">
        <f t="shared" si="6"/>
        <v>232826</v>
      </c>
      <c r="K34" s="962">
        <f t="shared" si="2"/>
        <v>0</v>
      </c>
      <c r="L34" s="962">
        <f t="shared" si="3"/>
        <v>0</v>
      </c>
      <c r="M34" s="962">
        <f t="shared" si="4"/>
        <v>0</v>
      </c>
      <c r="N34" s="962">
        <f t="shared" si="5"/>
        <v>0</v>
      </c>
    </row>
    <row r="35" spans="1:14" ht="15.6">
      <c r="A35" s="956"/>
      <c r="B35" s="956"/>
      <c r="C35" s="956"/>
      <c r="D35" s="958">
        <v>3146</v>
      </c>
      <c r="E35" s="959">
        <v>44999</v>
      </c>
      <c r="F35" s="964">
        <v>224031</v>
      </c>
      <c r="G35" s="956">
        <v>30</v>
      </c>
      <c r="H35" s="961">
        <f t="shared" si="0"/>
        <v>45029</v>
      </c>
      <c r="I35" s="962">
        <f t="shared" si="1"/>
        <v>-12</v>
      </c>
      <c r="J35" s="962">
        <f t="shared" si="6"/>
        <v>224031</v>
      </c>
      <c r="K35" s="962">
        <f t="shared" si="2"/>
        <v>0</v>
      </c>
      <c r="L35" s="962">
        <f t="shared" si="3"/>
        <v>0</v>
      </c>
      <c r="M35" s="962">
        <f t="shared" si="4"/>
        <v>0</v>
      </c>
      <c r="N35" s="962">
        <f t="shared" si="5"/>
        <v>0</v>
      </c>
    </row>
    <row r="36" spans="1:14" ht="15.6">
      <c r="A36" s="956"/>
      <c r="B36" s="956"/>
      <c r="C36" s="956"/>
      <c r="D36" s="958">
        <v>3149</v>
      </c>
      <c r="E36" s="959">
        <v>44999</v>
      </c>
      <c r="F36" s="964">
        <v>219848</v>
      </c>
      <c r="G36" s="956">
        <v>30</v>
      </c>
      <c r="H36" s="961">
        <f t="shared" si="0"/>
        <v>45029</v>
      </c>
      <c r="I36" s="962">
        <f t="shared" si="1"/>
        <v>-12</v>
      </c>
      <c r="J36" s="962">
        <f t="shared" si="6"/>
        <v>219848</v>
      </c>
      <c r="K36" s="962">
        <f t="shared" si="2"/>
        <v>0</v>
      </c>
      <c r="L36" s="962">
        <f t="shared" si="3"/>
        <v>0</v>
      </c>
      <c r="M36" s="962">
        <f t="shared" si="4"/>
        <v>0</v>
      </c>
      <c r="N36" s="962">
        <f t="shared" si="5"/>
        <v>0</v>
      </c>
    </row>
    <row r="37" spans="1:14" ht="15.6">
      <c r="A37" s="956"/>
      <c r="B37" s="956"/>
      <c r="C37" s="956"/>
      <c r="D37" s="958">
        <v>3150</v>
      </c>
      <c r="E37" s="959">
        <v>44999</v>
      </c>
      <c r="F37" s="964">
        <v>216474</v>
      </c>
      <c r="G37" s="956">
        <v>30</v>
      </c>
      <c r="H37" s="961">
        <f t="shared" si="0"/>
        <v>45029</v>
      </c>
      <c r="I37" s="962">
        <f t="shared" si="1"/>
        <v>-12</v>
      </c>
      <c r="J37" s="962">
        <f t="shared" si="6"/>
        <v>216474</v>
      </c>
      <c r="K37" s="962">
        <f t="shared" si="2"/>
        <v>0</v>
      </c>
      <c r="L37" s="962">
        <f t="shared" si="3"/>
        <v>0</v>
      </c>
      <c r="M37" s="962">
        <f t="shared" si="4"/>
        <v>0</v>
      </c>
      <c r="N37" s="962">
        <f t="shared" si="5"/>
        <v>0</v>
      </c>
    </row>
    <row r="38" spans="1:14" ht="15.6">
      <c r="A38" s="956"/>
      <c r="B38" s="956"/>
      <c r="C38" s="956"/>
      <c r="D38" s="958">
        <v>3151</v>
      </c>
      <c r="E38" s="959">
        <v>44999</v>
      </c>
      <c r="F38" s="964">
        <v>195679</v>
      </c>
      <c r="G38" s="956">
        <v>30</v>
      </c>
      <c r="H38" s="961">
        <f t="shared" si="0"/>
        <v>45029</v>
      </c>
      <c r="I38" s="962">
        <f t="shared" si="1"/>
        <v>-12</v>
      </c>
      <c r="J38" s="962">
        <f t="shared" si="6"/>
        <v>195679</v>
      </c>
      <c r="K38" s="962">
        <f t="shared" si="2"/>
        <v>0</v>
      </c>
      <c r="L38" s="962">
        <f t="shared" si="3"/>
        <v>0</v>
      </c>
      <c r="M38" s="962">
        <f t="shared" si="4"/>
        <v>0</v>
      </c>
      <c r="N38" s="962">
        <f t="shared" si="5"/>
        <v>0</v>
      </c>
    </row>
    <row r="39" spans="1:14" ht="15.6">
      <c r="A39" s="956"/>
      <c r="B39" s="956"/>
      <c r="C39" s="956"/>
      <c r="D39" s="958">
        <v>3153</v>
      </c>
      <c r="E39" s="959">
        <v>45000</v>
      </c>
      <c r="F39" s="964">
        <v>216268</v>
      </c>
      <c r="G39" s="956">
        <v>30</v>
      </c>
      <c r="H39" s="961">
        <f t="shared" si="0"/>
        <v>45030</v>
      </c>
      <c r="I39" s="962">
        <f t="shared" si="1"/>
        <v>-13</v>
      </c>
      <c r="J39" s="962">
        <f t="shared" si="6"/>
        <v>216268</v>
      </c>
      <c r="K39" s="962">
        <f t="shared" si="2"/>
        <v>0</v>
      </c>
      <c r="L39" s="962">
        <f t="shared" si="3"/>
        <v>0</v>
      </c>
      <c r="M39" s="962">
        <f t="shared" si="4"/>
        <v>0</v>
      </c>
      <c r="N39" s="962">
        <f t="shared" si="5"/>
        <v>0</v>
      </c>
    </row>
    <row r="40" spans="1:14" ht="15.6">
      <c r="A40" s="956"/>
      <c r="B40" s="956"/>
      <c r="C40" s="956"/>
      <c r="D40" s="958">
        <v>3154</v>
      </c>
      <c r="E40" s="959">
        <v>45000</v>
      </c>
      <c r="F40" s="964">
        <v>154958</v>
      </c>
      <c r="G40" s="956">
        <v>30</v>
      </c>
      <c r="H40" s="961">
        <f t="shared" si="0"/>
        <v>45030</v>
      </c>
      <c r="I40" s="962">
        <f t="shared" si="1"/>
        <v>-13</v>
      </c>
      <c r="J40" s="962">
        <f t="shared" si="6"/>
        <v>154958</v>
      </c>
      <c r="K40" s="962">
        <f t="shared" si="2"/>
        <v>0</v>
      </c>
      <c r="L40" s="962">
        <f t="shared" si="3"/>
        <v>0</v>
      </c>
      <c r="M40" s="962">
        <f t="shared" si="4"/>
        <v>0</v>
      </c>
      <c r="N40" s="962">
        <f t="shared" si="5"/>
        <v>0</v>
      </c>
    </row>
    <row r="41" spans="1:14" ht="15.6">
      <c r="A41" s="956"/>
      <c r="B41" s="956"/>
      <c r="C41" s="956"/>
      <c r="D41" s="958">
        <v>3162</v>
      </c>
      <c r="E41" s="959">
        <v>45001</v>
      </c>
      <c r="F41" s="964">
        <v>234325</v>
      </c>
      <c r="G41" s="956">
        <v>30</v>
      </c>
      <c r="H41" s="961">
        <f t="shared" si="0"/>
        <v>45031</v>
      </c>
      <c r="I41" s="962">
        <f t="shared" si="1"/>
        <v>-14</v>
      </c>
      <c r="J41" s="962">
        <f t="shared" si="6"/>
        <v>234325</v>
      </c>
      <c r="K41" s="962">
        <f t="shared" si="2"/>
        <v>0</v>
      </c>
      <c r="L41" s="962">
        <f t="shared" si="3"/>
        <v>0</v>
      </c>
      <c r="M41" s="962">
        <f t="shared" si="4"/>
        <v>0</v>
      </c>
      <c r="N41" s="962">
        <f t="shared" si="5"/>
        <v>0</v>
      </c>
    </row>
    <row r="42" spans="1:14" ht="15.6">
      <c r="A42" s="956"/>
      <c r="B42" s="956"/>
      <c r="C42" s="956"/>
      <c r="D42" s="958">
        <v>3170</v>
      </c>
      <c r="E42" s="959">
        <v>45001</v>
      </c>
      <c r="F42" s="964">
        <v>277562</v>
      </c>
      <c r="G42" s="956">
        <v>30</v>
      </c>
      <c r="H42" s="961">
        <f t="shared" si="0"/>
        <v>45031</v>
      </c>
      <c r="I42" s="962">
        <f t="shared" si="1"/>
        <v>-14</v>
      </c>
      <c r="J42" s="962">
        <f t="shared" si="6"/>
        <v>277562</v>
      </c>
      <c r="K42" s="962">
        <f t="shared" si="2"/>
        <v>0</v>
      </c>
      <c r="L42" s="962">
        <f t="shared" si="3"/>
        <v>0</v>
      </c>
      <c r="M42" s="962">
        <f t="shared" si="4"/>
        <v>0</v>
      </c>
      <c r="N42" s="962">
        <f t="shared" si="5"/>
        <v>0</v>
      </c>
    </row>
    <row r="43" spans="1:14" ht="15.6">
      <c r="A43" s="956"/>
      <c r="B43" s="956"/>
      <c r="C43" s="956"/>
      <c r="D43" s="958">
        <v>3173</v>
      </c>
      <c r="E43" s="959">
        <v>45001</v>
      </c>
      <c r="F43" s="964">
        <v>146393</v>
      </c>
      <c r="G43" s="956">
        <v>30</v>
      </c>
      <c r="H43" s="961">
        <f t="shared" si="0"/>
        <v>45031</v>
      </c>
      <c r="I43" s="962">
        <f t="shared" si="1"/>
        <v>-14</v>
      </c>
      <c r="J43" s="962">
        <f t="shared" si="6"/>
        <v>146393</v>
      </c>
      <c r="K43" s="962">
        <f t="shared" si="2"/>
        <v>0</v>
      </c>
      <c r="L43" s="962">
        <f t="shared" si="3"/>
        <v>0</v>
      </c>
      <c r="M43" s="962">
        <f t="shared" si="4"/>
        <v>0</v>
      </c>
      <c r="N43" s="962">
        <f t="shared" si="5"/>
        <v>0</v>
      </c>
    </row>
    <row r="44" spans="1:14" ht="15.6">
      <c r="A44" s="956"/>
      <c r="B44" s="956"/>
      <c r="C44" s="956"/>
      <c r="D44" s="958">
        <v>3181</v>
      </c>
      <c r="E44" s="959">
        <v>45002</v>
      </c>
      <c r="F44" s="964">
        <v>211533</v>
      </c>
      <c r="G44" s="956">
        <v>30</v>
      </c>
      <c r="H44" s="961">
        <f t="shared" si="0"/>
        <v>45032</v>
      </c>
      <c r="I44" s="962">
        <f t="shared" si="1"/>
        <v>-15</v>
      </c>
      <c r="J44" s="962">
        <f t="shared" si="6"/>
        <v>211533</v>
      </c>
      <c r="K44" s="962">
        <f t="shared" si="2"/>
        <v>0</v>
      </c>
      <c r="L44" s="962">
        <f t="shared" si="3"/>
        <v>0</v>
      </c>
      <c r="M44" s="962">
        <f t="shared" si="4"/>
        <v>0</v>
      </c>
      <c r="N44" s="962">
        <f t="shared" si="5"/>
        <v>0</v>
      </c>
    </row>
    <row r="45" spans="1:14" ht="15.6">
      <c r="A45" s="956"/>
      <c r="B45" s="956"/>
      <c r="C45" s="956"/>
      <c r="D45" s="958">
        <v>3187</v>
      </c>
      <c r="E45" s="959">
        <v>45003</v>
      </c>
      <c r="F45" s="964">
        <v>207014</v>
      </c>
      <c r="G45" s="956">
        <v>30</v>
      </c>
      <c r="H45" s="961">
        <f t="shared" si="0"/>
        <v>45033</v>
      </c>
      <c r="I45" s="962">
        <f t="shared" si="1"/>
        <v>-16</v>
      </c>
      <c r="J45" s="962">
        <f t="shared" si="6"/>
        <v>207014</v>
      </c>
      <c r="K45" s="962">
        <f t="shared" si="2"/>
        <v>0</v>
      </c>
      <c r="L45" s="962">
        <f t="shared" si="3"/>
        <v>0</v>
      </c>
      <c r="M45" s="962">
        <f t="shared" si="4"/>
        <v>0</v>
      </c>
      <c r="N45" s="962">
        <f t="shared" si="5"/>
        <v>0</v>
      </c>
    </row>
    <row r="46" spans="1:14" ht="15.6">
      <c r="A46" s="956"/>
      <c r="B46" s="956"/>
      <c r="C46" s="956"/>
      <c r="D46" s="958">
        <v>3200</v>
      </c>
      <c r="E46" s="959">
        <v>45005</v>
      </c>
      <c r="F46" s="964">
        <v>207821</v>
      </c>
      <c r="G46" s="956">
        <v>30</v>
      </c>
      <c r="H46" s="961">
        <f t="shared" si="0"/>
        <v>45035</v>
      </c>
      <c r="I46" s="962">
        <f t="shared" si="1"/>
        <v>-18</v>
      </c>
      <c r="J46" s="962">
        <f t="shared" si="6"/>
        <v>207821</v>
      </c>
      <c r="K46" s="962">
        <f t="shared" si="2"/>
        <v>0</v>
      </c>
      <c r="L46" s="962">
        <f t="shared" si="3"/>
        <v>0</v>
      </c>
      <c r="M46" s="962">
        <f t="shared" si="4"/>
        <v>0</v>
      </c>
      <c r="N46" s="962">
        <f t="shared" si="5"/>
        <v>0</v>
      </c>
    </row>
    <row r="47" spans="1:14" ht="15.6">
      <c r="A47" s="956"/>
      <c r="B47" s="956"/>
      <c r="C47" s="956"/>
      <c r="D47" s="958">
        <v>3202</v>
      </c>
      <c r="E47" s="959">
        <v>45005</v>
      </c>
      <c r="F47" s="964">
        <v>217113</v>
      </c>
      <c r="G47" s="956">
        <v>30</v>
      </c>
      <c r="H47" s="961">
        <f t="shared" si="0"/>
        <v>45035</v>
      </c>
      <c r="I47" s="962">
        <f t="shared" si="1"/>
        <v>-18</v>
      </c>
      <c r="J47" s="962">
        <f t="shared" si="6"/>
        <v>217113</v>
      </c>
      <c r="K47" s="962">
        <f t="shared" si="2"/>
        <v>0</v>
      </c>
      <c r="L47" s="962">
        <f t="shared" si="3"/>
        <v>0</v>
      </c>
      <c r="M47" s="962">
        <f t="shared" si="4"/>
        <v>0</v>
      </c>
      <c r="N47" s="962">
        <f t="shared" si="5"/>
        <v>0</v>
      </c>
    </row>
    <row r="48" spans="1:14" ht="15.6">
      <c r="A48" s="956"/>
      <c r="B48" s="956"/>
      <c r="C48" s="956"/>
      <c r="D48" s="958">
        <v>3210</v>
      </c>
      <c r="E48" s="959">
        <v>45006</v>
      </c>
      <c r="F48" s="964">
        <v>219106</v>
      </c>
      <c r="G48" s="956">
        <v>30</v>
      </c>
      <c r="H48" s="961">
        <f t="shared" si="0"/>
        <v>45036</v>
      </c>
      <c r="I48" s="962">
        <f t="shared" si="1"/>
        <v>-19</v>
      </c>
      <c r="J48" s="962">
        <f t="shared" si="6"/>
        <v>219106</v>
      </c>
      <c r="K48" s="962">
        <f t="shared" si="2"/>
        <v>0</v>
      </c>
      <c r="L48" s="962">
        <f t="shared" si="3"/>
        <v>0</v>
      </c>
      <c r="M48" s="962">
        <f t="shared" si="4"/>
        <v>0</v>
      </c>
      <c r="N48" s="962">
        <f t="shared" si="5"/>
        <v>0</v>
      </c>
    </row>
    <row r="49" spans="1:14" ht="15.6">
      <c r="A49" s="956"/>
      <c r="B49" s="956"/>
      <c r="C49" s="956"/>
      <c r="D49" s="958">
        <v>3214</v>
      </c>
      <c r="E49" s="959">
        <v>45006</v>
      </c>
      <c r="F49" s="964">
        <v>218521</v>
      </c>
      <c r="G49" s="956">
        <v>30</v>
      </c>
      <c r="H49" s="961">
        <f t="shared" si="0"/>
        <v>45036</v>
      </c>
      <c r="I49" s="962">
        <f t="shared" si="1"/>
        <v>-19</v>
      </c>
      <c r="J49" s="962">
        <f t="shared" si="6"/>
        <v>218521</v>
      </c>
      <c r="K49" s="962">
        <f t="shared" si="2"/>
        <v>0</v>
      </c>
      <c r="L49" s="962">
        <f t="shared" si="3"/>
        <v>0</v>
      </c>
      <c r="M49" s="962">
        <f t="shared" si="4"/>
        <v>0</v>
      </c>
      <c r="N49" s="962">
        <f t="shared" si="5"/>
        <v>0</v>
      </c>
    </row>
    <row r="50" spans="1:14" ht="15.6">
      <c r="A50" s="956"/>
      <c r="B50" s="956"/>
      <c r="C50" s="956"/>
      <c r="D50" s="958">
        <v>3222</v>
      </c>
      <c r="E50" s="959">
        <v>45007</v>
      </c>
      <c r="F50" s="964">
        <v>205542</v>
      </c>
      <c r="G50" s="956">
        <v>30</v>
      </c>
      <c r="H50" s="961">
        <f t="shared" si="0"/>
        <v>45037</v>
      </c>
      <c r="I50" s="962">
        <f t="shared" si="1"/>
        <v>-20</v>
      </c>
      <c r="J50" s="962">
        <f t="shared" si="6"/>
        <v>205542</v>
      </c>
      <c r="K50" s="962">
        <f t="shared" si="2"/>
        <v>0</v>
      </c>
      <c r="L50" s="962">
        <f t="shared" si="3"/>
        <v>0</v>
      </c>
      <c r="M50" s="962">
        <f t="shared" si="4"/>
        <v>0</v>
      </c>
      <c r="N50" s="962">
        <f t="shared" si="5"/>
        <v>0</v>
      </c>
    </row>
    <row r="51" spans="1:14" ht="15.6">
      <c r="A51" s="956"/>
      <c r="B51" s="956"/>
      <c r="C51" s="956"/>
      <c r="D51" s="958">
        <v>3229</v>
      </c>
      <c r="E51" s="959">
        <v>45008</v>
      </c>
      <c r="F51" s="964">
        <v>220452</v>
      </c>
      <c r="G51" s="956">
        <v>30</v>
      </c>
      <c r="H51" s="961">
        <f t="shared" si="0"/>
        <v>45038</v>
      </c>
      <c r="I51" s="962">
        <f t="shared" si="1"/>
        <v>-21</v>
      </c>
      <c r="J51" s="962">
        <f t="shared" si="6"/>
        <v>220452</v>
      </c>
      <c r="K51" s="962">
        <f t="shared" si="2"/>
        <v>0</v>
      </c>
      <c r="L51" s="962">
        <f t="shared" si="3"/>
        <v>0</v>
      </c>
      <c r="M51" s="962">
        <f t="shared" si="4"/>
        <v>0</v>
      </c>
      <c r="N51" s="962">
        <f t="shared" si="5"/>
        <v>0</v>
      </c>
    </row>
    <row r="52" spans="1:14" ht="15.6">
      <c r="A52" s="956"/>
      <c r="B52" s="956"/>
      <c r="C52" s="956"/>
      <c r="D52" s="958">
        <v>3233</v>
      </c>
      <c r="E52" s="959">
        <v>45008</v>
      </c>
      <c r="F52" s="964">
        <v>209984</v>
      </c>
      <c r="G52" s="956">
        <v>30</v>
      </c>
      <c r="H52" s="961">
        <f t="shared" si="0"/>
        <v>45038</v>
      </c>
      <c r="I52" s="962">
        <f t="shared" si="1"/>
        <v>-21</v>
      </c>
      <c r="J52" s="962">
        <f t="shared" si="6"/>
        <v>209984</v>
      </c>
      <c r="K52" s="962">
        <f t="shared" si="2"/>
        <v>0</v>
      </c>
      <c r="L52" s="962">
        <f t="shared" si="3"/>
        <v>0</v>
      </c>
      <c r="M52" s="962">
        <f t="shared" si="4"/>
        <v>0</v>
      </c>
      <c r="N52" s="962">
        <f t="shared" si="5"/>
        <v>0</v>
      </c>
    </row>
    <row r="53" spans="1:14" ht="15.6">
      <c r="A53" s="956"/>
      <c r="B53" s="956"/>
      <c r="C53" s="956"/>
      <c r="D53" s="958">
        <v>3234</v>
      </c>
      <c r="E53" s="959">
        <v>45008</v>
      </c>
      <c r="F53" s="964">
        <v>474361</v>
      </c>
      <c r="G53" s="956">
        <v>30</v>
      </c>
      <c r="H53" s="961">
        <f t="shared" si="0"/>
        <v>45038</v>
      </c>
      <c r="I53" s="962">
        <f t="shared" si="1"/>
        <v>-21</v>
      </c>
      <c r="J53" s="962">
        <f t="shared" si="6"/>
        <v>474361</v>
      </c>
      <c r="K53" s="962">
        <f t="shared" si="2"/>
        <v>0</v>
      </c>
      <c r="L53" s="962">
        <f t="shared" si="3"/>
        <v>0</v>
      </c>
      <c r="M53" s="962">
        <f t="shared" si="4"/>
        <v>0</v>
      </c>
      <c r="N53" s="962">
        <f t="shared" si="5"/>
        <v>0</v>
      </c>
    </row>
    <row r="54" spans="1:14" ht="15.6">
      <c r="A54" s="956"/>
      <c r="B54" s="956"/>
      <c r="C54" s="956"/>
      <c r="D54" s="958">
        <v>3238</v>
      </c>
      <c r="E54" s="959">
        <v>45008</v>
      </c>
      <c r="F54" s="964">
        <v>212089</v>
      </c>
      <c r="G54" s="956">
        <v>30</v>
      </c>
      <c r="H54" s="961">
        <f t="shared" si="0"/>
        <v>45038</v>
      </c>
      <c r="I54" s="962">
        <f t="shared" si="1"/>
        <v>-21</v>
      </c>
      <c r="J54" s="962">
        <f t="shared" si="6"/>
        <v>212089</v>
      </c>
      <c r="K54" s="962">
        <f t="shared" si="2"/>
        <v>0</v>
      </c>
      <c r="L54" s="962">
        <f t="shared" si="3"/>
        <v>0</v>
      </c>
      <c r="M54" s="962">
        <f t="shared" si="4"/>
        <v>0</v>
      </c>
      <c r="N54" s="962">
        <f t="shared" si="5"/>
        <v>0</v>
      </c>
    </row>
    <row r="55" spans="1:14" ht="15.6">
      <c r="A55" s="956"/>
      <c r="B55" s="956"/>
      <c r="C55" s="956"/>
      <c r="D55" s="958">
        <v>3252</v>
      </c>
      <c r="E55" s="959">
        <v>45010</v>
      </c>
      <c r="F55" s="964">
        <v>205485</v>
      </c>
      <c r="G55" s="956">
        <v>30</v>
      </c>
      <c r="H55" s="961">
        <f t="shared" si="0"/>
        <v>45040</v>
      </c>
      <c r="I55" s="962">
        <f t="shared" si="1"/>
        <v>-23</v>
      </c>
      <c r="J55" s="962">
        <f t="shared" si="6"/>
        <v>205485</v>
      </c>
      <c r="K55" s="962">
        <f t="shared" si="2"/>
        <v>0</v>
      </c>
      <c r="L55" s="962">
        <f t="shared" si="3"/>
        <v>0</v>
      </c>
      <c r="M55" s="962">
        <f t="shared" si="4"/>
        <v>0</v>
      </c>
      <c r="N55" s="962">
        <f t="shared" si="5"/>
        <v>0</v>
      </c>
    </row>
    <row r="56" spans="1:14" ht="15.6">
      <c r="A56" s="956"/>
      <c r="B56" s="956"/>
      <c r="C56" s="956"/>
      <c r="D56" s="958">
        <v>3253</v>
      </c>
      <c r="E56" s="959">
        <v>45010</v>
      </c>
      <c r="F56" s="964">
        <v>209147</v>
      </c>
      <c r="G56" s="956">
        <v>30</v>
      </c>
      <c r="H56" s="961">
        <f t="shared" si="0"/>
        <v>45040</v>
      </c>
      <c r="I56" s="962">
        <f t="shared" si="1"/>
        <v>-23</v>
      </c>
      <c r="J56" s="962">
        <f t="shared" si="6"/>
        <v>209147</v>
      </c>
      <c r="K56" s="962">
        <f t="shared" si="2"/>
        <v>0</v>
      </c>
      <c r="L56" s="962">
        <f t="shared" si="3"/>
        <v>0</v>
      </c>
      <c r="M56" s="962">
        <f t="shared" si="4"/>
        <v>0</v>
      </c>
      <c r="N56" s="962">
        <f t="shared" si="5"/>
        <v>0</v>
      </c>
    </row>
    <row r="57" spans="1:14" ht="15.6">
      <c r="A57" s="956"/>
      <c r="B57" s="956"/>
      <c r="C57" s="956"/>
      <c r="D57" s="958">
        <v>3254</v>
      </c>
      <c r="E57" s="959">
        <v>45010</v>
      </c>
      <c r="F57" s="964">
        <v>176934</v>
      </c>
      <c r="G57" s="956">
        <v>30</v>
      </c>
      <c r="H57" s="961">
        <f t="shared" si="0"/>
        <v>45040</v>
      </c>
      <c r="I57" s="962">
        <f t="shared" si="1"/>
        <v>-23</v>
      </c>
      <c r="J57" s="962">
        <f t="shared" si="6"/>
        <v>176934</v>
      </c>
      <c r="K57" s="962">
        <f t="shared" si="2"/>
        <v>0</v>
      </c>
      <c r="L57" s="962">
        <f t="shared" si="3"/>
        <v>0</v>
      </c>
      <c r="M57" s="962">
        <f t="shared" si="4"/>
        <v>0</v>
      </c>
      <c r="N57" s="962">
        <f t="shared" si="5"/>
        <v>0</v>
      </c>
    </row>
    <row r="58" spans="1:14" ht="15.6">
      <c r="A58" s="956"/>
      <c r="B58" s="956"/>
      <c r="C58" s="956"/>
      <c r="D58" s="958">
        <v>3259</v>
      </c>
      <c r="E58" s="959">
        <v>45010</v>
      </c>
      <c r="F58" s="964">
        <v>213071</v>
      </c>
      <c r="G58" s="956">
        <v>30</v>
      </c>
      <c r="H58" s="961">
        <f t="shared" si="0"/>
        <v>45040</v>
      </c>
      <c r="I58" s="962">
        <f t="shared" si="1"/>
        <v>-23</v>
      </c>
      <c r="J58" s="962">
        <f t="shared" si="6"/>
        <v>213071</v>
      </c>
      <c r="K58" s="962">
        <f t="shared" si="2"/>
        <v>0</v>
      </c>
      <c r="L58" s="962">
        <f t="shared" si="3"/>
        <v>0</v>
      </c>
      <c r="M58" s="962">
        <f t="shared" si="4"/>
        <v>0</v>
      </c>
      <c r="N58" s="962">
        <f t="shared" si="5"/>
        <v>0</v>
      </c>
    </row>
    <row r="59" spans="1:14" ht="15.6">
      <c r="A59" s="956"/>
      <c r="B59" s="956"/>
      <c r="C59" s="956"/>
      <c r="D59" s="958">
        <v>3266</v>
      </c>
      <c r="E59" s="959">
        <v>45011</v>
      </c>
      <c r="F59" s="964">
        <v>299641</v>
      </c>
      <c r="G59" s="956">
        <v>30</v>
      </c>
      <c r="H59" s="961">
        <f t="shared" si="0"/>
        <v>45041</v>
      </c>
      <c r="I59" s="962">
        <f t="shared" si="1"/>
        <v>-24</v>
      </c>
      <c r="J59" s="962">
        <f t="shared" si="6"/>
        <v>299641</v>
      </c>
      <c r="K59" s="962">
        <f t="shared" si="2"/>
        <v>0</v>
      </c>
      <c r="L59" s="962">
        <f t="shared" si="3"/>
        <v>0</v>
      </c>
      <c r="M59" s="962">
        <f t="shared" si="4"/>
        <v>0</v>
      </c>
      <c r="N59" s="962">
        <f t="shared" si="5"/>
        <v>0</v>
      </c>
    </row>
    <row r="60" spans="1:14" ht="15.6">
      <c r="A60" s="956"/>
      <c r="B60" s="956"/>
      <c r="C60" s="956"/>
      <c r="D60" s="958">
        <v>3274</v>
      </c>
      <c r="E60" s="959">
        <v>45012</v>
      </c>
      <c r="F60" s="964">
        <v>225703</v>
      </c>
      <c r="G60" s="956">
        <v>30</v>
      </c>
      <c r="H60" s="961">
        <f t="shared" si="0"/>
        <v>45042</v>
      </c>
      <c r="I60" s="962">
        <f t="shared" si="1"/>
        <v>-25</v>
      </c>
      <c r="J60" s="962">
        <f t="shared" si="6"/>
        <v>225703</v>
      </c>
      <c r="K60" s="962">
        <f t="shared" si="2"/>
        <v>0</v>
      </c>
      <c r="L60" s="962">
        <f t="shared" si="3"/>
        <v>0</v>
      </c>
      <c r="M60" s="962">
        <f t="shared" si="4"/>
        <v>0</v>
      </c>
      <c r="N60" s="962">
        <f t="shared" si="5"/>
        <v>0</v>
      </c>
    </row>
    <row r="61" spans="1:14" ht="15.6">
      <c r="A61" s="956"/>
      <c r="B61" s="956"/>
      <c r="C61" s="956"/>
      <c r="D61" s="958">
        <v>3276</v>
      </c>
      <c r="E61" s="959">
        <v>45012</v>
      </c>
      <c r="F61" s="964">
        <v>204419</v>
      </c>
      <c r="G61" s="956">
        <v>30</v>
      </c>
      <c r="H61" s="961">
        <f t="shared" si="0"/>
        <v>45042</v>
      </c>
      <c r="I61" s="962">
        <f t="shared" si="1"/>
        <v>-25</v>
      </c>
      <c r="J61" s="962">
        <f t="shared" si="6"/>
        <v>204419</v>
      </c>
      <c r="K61" s="962">
        <f t="shared" si="2"/>
        <v>0</v>
      </c>
      <c r="L61" s="962">
        <f t="shared" si="3"/>
        <v>0</v>
      </c>
      <c r="M61" s="962">
        <f t="shared" si="4"/>
        <v>0</v>
      </c>
      <c r="N61" s="962">
        <f t="shared" si="5"/>
        <v>0</v>
      </c>
    </row>
    <row r="62" spans="1:14" ht="15.6">
      <c r="A62" s="956"/>
      <c r="B62" s="956"/>
      <c r="C62" s="956"/>
      <c r="D62" s="958">
        <v>3277</v>
      </c>
      <c r="E62" s="959">
        <v>45012</v>
      </c>
      <c r="F62" s="964">
        <v>207793</v>
      </c>
      <c r="G62" s="956">
        <v>30</v>
      </c>
      <c r="H62" s="961">
        <f t="shared" si="0"/>
        <v>45042</v>
      </c>
      <c r="I62" s="962">
        <f t="shared" si="1"/>
        <v>-25</v>
      </c>
      <c r="J62" s="962">
        <f t="shared" si="6"/>
        <v>207793</v>
      </c>
      <c r="K62" s="962">
        <f t="shared" si="2"/>
        <v>0</v>
      </c>
      <c r="L62" s="962">
        <f t="shared" si="3"/>
        <v>0</v>
      </c>
      <c r="M62" s="962">
        <f t="shared" si="4"/>
        <v>0</v>
      </c>
      <c r="N62" s="962">
        <f t="shared" si="5"/>
        <v>0</v>
      </c>
    </row>
    <row r="63" spans="1:14" ht="15.6">
      <c r="A63" s="956"/>
      <c r="B63" s="956"/>
      <c r="C63" s="956"/>
      <c r="D63" s="958">
        <v>3279</v>
      </c>
      <c r="E63" s="959">
        <v>45012</v>
      </c>
      <c r="F63" s="964">
        <v>205484</v>
      </c>
      <c r="G63" s="956">
        <v>30</v>
      </c>
      <c r="H63" s="961">
        <f t="shared" si="0"/>
        <v>45042</v>
      </c>
      <c r="I63" s="962">
        <f t="shared" si="1"/>
        <v>-25</v>
      </c>
      <c r="J63" s="962">
        <f t="shared" si="6"/>
        <v>205484</v>
      </c>
      <c r="K63" s="962">
        <f t="shared" si="2"/>
        <v>0</v>
      </c>
      <c r="L63" s="962">
        <f t="shared" si="3"/>
        <v>0</v>
      </c>
      <c r="M63" s="962">
        <f t="shared" si="4"/>
        <v>0</v>
      </c>
      <c r="N63" s="962">
        <f t="shared" si="5"/>
        <v>0</v>
      </c>
    </row>
    <row r="64" spans="1:14" ht="15.6">
      <c r="A64" s="956"/>
      <c r="B64" s="956"/>
      <c r="C64" s="956"/>
      <c r="D64" s="958">
        <v>3280</v>
      </c>
      <c r="E64" s="959">
        <v>45012</v>
      </c>
      <c r="F64" s="964">
        <v>229941</v>
      </c>
      <c r="G64" s="956">
        <v>30</v>
      </c>
      <c r="H64" s="961">
        <f t="shared" si="0"/>
        <v>45042</v>
      </c>
      <c r="I64" s="962">
        <f t="shared" si="1"/>
        <v>-25</v>
      </c>
      <c r="J64" s="962">
        <f t="shared" si="6"/>
        <v>229941</v>
      </c>
      <c r="K64" s="962">
        <f t="shared" si="2"/>
        <v>0</v>
      </c>
      <c r="L64" s="962">
        <f t="shared" si="3"/>
        <v>0</v>
      </c>
      <c r="M64" s="962">
        <f t="shared" si="4"/>
        <v>0</v>
      </c>
      <c r="N64" s="962">
        <f t="shared" si="5"/>
        <v>0</v>
      </c>
    </row>
    <row r="65" spans="1:14" ht="15.6">
      <c r="A65" s="956"/>
      <c r="B65" s="956"/>
      <c r="C65" s="956"/>
      <c r="D65" s="958">
        <v>3287</v>
      </c>
      <c r="E65" s="959">
        <v>45013</v>
      </c>
      <c r="F65" s="964">
        <v>198678</v>
      </c>
      <c r="G65" s="956">
        <v>30</v>
      </c>
      <c r="H65" s="961">
        <f t="shared" si="0"/>
        <v>45043</v>
      </c>
      <c r="I65" s="962">
        <f t="shared" si="1"/>
        <v>-26</v>
      </c>
      <c r="J65" s="962">
        <f t="shared" si="6"/>
        <v>198678</v>
      </c>
      <c r="K65" s="962">
        <f t="shared" si="2"/>
        <v>0</v>
      </c>
      <c r="L65" s="962">
        <f t="shared" si="3"/>
        <v>0</v>
      </c>
      <c r="M65" s="962">
        <f t="shared" si="4"/>
        <v>0</v>
      </c>
      <c r="N65" s="962">
        <f t="shared" si="5"/>
        <v>0</v>
      </c>
    </row>
    <row r="66" spans="1:14" ht="15.6">
      <c r="A66" s="956"/>
      <c r="B66" s="956"/>
      <c r="C66" s="956"/>
      <c r="D66" s="958">
        <v>3292</v>
      </c>
      <c r="E66" s="959">
        <v>45014</v>
      </c>
      <c r="F66" s="964">
        <v>220194</v>
      </c>
      <c r="G66" s="956">
        <v>30</v>
      </c>
      <c r="H66" s="961">
        <f t="shared" si="0"/>
        <v>45044</v>
      </c>
      <c r="I66" s="962">
        <f t="shared" si="1"/>
        <v>-27</v>
      </c>
      <c r="J66" s="962">
        <f t="shared" si="6"/>
        <v>220194</v>
      </c>
      <c r="K66" s="962">
        <f t="shared" si="2"/>
        <v>0</v>
      </c>
      <c r="L66" s="962">
        <f t="shared" si="3"/>
        <v>0</v>
      </c>
      <c r="M66" s="962">
        <f t="shared" si="4"/>
        <v>0</v>
      </c>
      <c r="N66" s="962">
        <f t="shared" si="5"/>
        <v>0</v>
      </c>
    </row>
    <row r="67" spans="1:14" ht="15.6">
      <c r="A67" s="956"/>
      <c r="B67" s="956"/>
      <c r="C67" s="956"/>
      <c r="D67" s="958">
        <v>3295</v>
      </c>
      <c r="E67" s="959">
        <v>45014</v>
      </c>
      <c r="F67" s="964">
        <v>297031</v>
      </c>
      <c r="G67" s="956">
        <v>30</v>
      </c>
      <c r="H67" s="961">
        <f t="shared" si="0"/>
        <v>45044</v>
      </c>
      <c r="I67" s="962">
        <f t="shared" si="1"/>
        <v>-27</v>
      </c>
      <c r="J67" s="962">
        <f t="shared" si="6"/>
        <v>297031</v>
      </c>
      <c r="K67" s="962">
        <f t="shared" si="2"/>
        <v>0</v>
      </c>
      <c r="L67" s="962">
        <f t="shared" si="3"/>
        <v>0</v>
      </c>
      <c r="M67" s="962">
        <f t="shared" si="4"/>
        <v>0</v>
      </c>
      <c r="N67" s="962">
        <f t="shared" si="5"/>
        <v>0</v>
      </c>
    </row>
    <row r="68" spans="1:14" ht="15.6">
      <c r="A68" s="956"/>
      <c r="B68" s="956"/>
      <c r="C68" s="956"/>
      <c r="D68" s="958">
        <v>3296</v>
      </c>
      <c r="E68" s="959">
        <v>45015</v>
      </c>
      <c r="F68" s="964">
        <v>205998</v>
      </c>
      <c r="G68" s="956">
        <v>30</v>
      </c>
      <c r="H68" s="961">
        <f t="shared" si="0"/>
        <v>45045</v>
      </c>
      <c r="I68" s="962">
        <f t="shared" si="1"/>
        <v>-28</v>
      </c>
      <c r="J68" s="962">
        <f t="shared" si="6"/>
        <v>205998</v>
      </c>
      <c r="K68" s="962">
        <f t="shared" si="2"/>
        <v>0</v>
      </c>
      <c r="L68" s="962">
        <f t="shared" si="3"/>
        <v>0</v>
      </c>
      <c r="M68" s="962">
        <f t="shared" si="4"/>
        <v>0</v>
      </c>
      <c r="N68" s="962">
        <f t="shared" si="5"/>
        <v>0</v>
      </c>
    </row>
    <row r="69" spans="1:14" ht="15.6">
      <c r="A69" s="956"/>
      <c r="B69" s="956"/>
      <c r="C69" s="956"/>
      <c r="D69" s="958">
        <v>3297</v>
      </c>
      <c r="E69" s="959">
        <v>45015</v>
      </c>
      <c r="F69" s="964">
        <v>257038</v>
      </c>
      <c r="G69" s="956">
        <v>30</v>
      </c>
      <c r="H69" s="961">
        <f t="shared" si="0"/>
        <v>45045</v>
      </c>
      <c r="I69" s="962">
        <f t="shared" si="1"/>
        <v>-28</v>
      </c>
      <c r="J69" s="962">
        <f t="shared" si="6"/>
        <v>257038</v>
      </c>
      <c r="K69" s="962">
        <f t="shared" si="2"/>
        <v>0</v>
      </c>
      <c r="L69" s="962">
        <f t="shared" si="3"/>
        <v>0</v>
      </c>
      <c r="M69" s="962">
        <f t="shared" si="4"/>
        <v>0</v>
      </c>
      <c r="N69" s="962">
        <f t="shared" si="5"/>
        <v>0</v>
      </c>
    </row>
    <row r="70" spans="1:14" ht="15.6">
      <c r="A70" s="956"/>
      <c r="B70" s="956"/>
      <c r="C70" s="956"/>
      <c r="D70" s="958">
        <v>3304</v>
      </c>
      <c r="E70" s="959">
        <v>45015</v>
      </c>
      <c r="F70" s="964">
        <v>188088</v>
      </c>
      <c r="G70" s="956">
        <v>30</v>
      </c>
      <c r="H70" s="961">
        <f t="shared" si="0"/>
        <v>45045</v>
      </c>
      <c r="I70" s="962">
        <f t="shared" si="1"/>
        <v>-28</v>
      </c>
      <c r="J70" s="962">
        <f t="shared" si="6"/>
        <v>188088</v>
      </c>
      <c r="K70" s="962">
        <f t="shared" si="2"/>
        <v>0</v>
      </c>
      <c r="L70" s="962">
        <f t="shared" si="3"/>
        <v>0</v>
      </c>
      <c r="M70" s="962">
        <f t="shared" si="4"/>
        <v>0</v>
      </c>
      <c r="N70" s="962">
        <f t="shared" si="5"/>
        <v>0</v>
      </c>
    </row>
    <row r="71" spans="1:14" ht="15.6">
      <c r="A71" s="956"/>
      <c r="B71" s="956"/>
      <c r="C71" s="956"/>
      <c r="D71" s="958" t="s">
        <v>2745</v>
      </c>
      <c r="E71" s="959">
        <v>45016</v>
      </c>
      <c r="F71" s="964">
        <v>-27846</v>
      </c>
      <c r="G71" s="956">
        <v>30</v>
      </c>
      <c r="H71" s="961">
        <f t="shared" si="0"/>
        <v>45046</v>
      </c>
      <c r="I71" s="962">
        <f t="shared" si="1"/>
        <v>-29</v>
      </c>
      <c r="J71" s="962">
        <f t="shared" si="6"/>
        <v>-27846</v>
      </c>
      <c r="K71" s="962"/>
      <c r="L71" s="962"/>
      <c r="M71" s="962"/>
      <c r="N71" s="962"/>
    </row>
    <row r="72" spans="1:14" ht="15.6">
      <c r="A72" s="956"/>
      <c r="B72" s="956"/>
      <c r="C72" s="956"/>
      <c r="D72" s="958"/>
      <c r="E72" s="959"/>
      <c r="F72" s="965">
        <f>SUM(F12:F71)</f>
        <v>13460226</v>
      </c>
      <c r="G72" s="956"/>
      <c r="H72" s="961"/>
      <c r="I72" s="962"/>
      <c r="J72" s="962"/>
      <c r="K72" s="962"/>
      <c r="L72" s="962"/>
      <c r="M72" s="962"/>
      <c r="N72" s="962"/>
    </row>
    <row r="73" spans="1:14" ht="15.6">
      <c r="A73" s="956"/>
      <c r="B73" s="956"/>
      <c r="C73" s="956"/>
      <c r="D73" s="958"/>
      <c r="E73" s="959"/>
      <c r="F73" s="964"/>
      <c r="G73" s="956"/>
      <c r="H73" s="961"/>
      <c r="I73" s="962"/>
      <c r="J73" s="962"/>
      <c r="K73" s="962"/>
      <c r="L73" s="962"/>
      <c r="M73" s="962"/>
      <c r="N73" s="962"/>
    </row>
    <row r="74" spans="1:14" ht="15.6">
      <c r="A74" s="956">
        <v>3</v>
      </c>
      <c r="B74" s="957" t="s">
        <v>539</v>
      </c>
      <c r="C74" s="956"/>
      <c r="D74" s="958">
        <v>3211</v>
      </c>
      <c r="E74" s="959">
        <v>45006</v>
      </c>
      <c r="F74" s="964">
        <v>702885</v>
      </c>
      <c r="G74" s="956">
        <v>30</v>
      </c>
      <c r="H74" s="961">
        <f t="shared" si="0"/>
        <v>45036</v>
      </c>
      <c r="I74" s="962">
        <f t="shared" si="1"/>
        <v>-19</v>
      </c>
      <c r="J74" s="962">
        <f t="shared" si="6"/>
        <v>702885</v>
      </c>
      <c r="K74" s="962">
        <f t="shared" si="2"/>
        <v>0</v>
      </c>
      <c r="L74" s="962">
        <f t="shared" si="3"/>
        <v>0</v>
      </c>
      <c r="M74" s="962">
        <f t="shared" si="4"/>
        <v>0</v>
      </c>
      <c r="N74" s="962">
        <f t="shared" si="5"/>
        <v>0</v>
      </c>
    </row>
    <row r="75" spans="1:14" ht="15.6">
      <c r="A75" s="956"/>
      <c r="B75" s="956"/>
      <c r="C75" s="956"/>
      <c r="D75" s="958">
        <v>3264</v>
      </c>
      <c r="E75" s="959">
        <v>45011</v>
      </c>
      <c r="F75" s="960">
        <v>739340</v>
      </c>
      <c r="G75" s="956">
        <v>30</v>
      </c>
      <c r="H75" s="961">
        <f t="shared" si="0"/>
        <v>45041</v>
      </c>
      <c r="I75" s="962">
        <f t="shared" si="1"/>
        <v>-24</v>
      </c>
      <c r="J75" s="962">
        <f t="shared" si="6"/>
        <v>739340</v>
      </c>
      <c r="K75" s="962">
        <f t="shared" si="2"/>
        <v>0</v>
      </c>
      <c r="L75" s="962">
        <f t="shared" si="3"/>
        <v>0</v>
      </c>
      <c r="M75" s="962">
        <f t="shared" si="4"/>
        <v>0</v>
      </c>
      <c r="N75" s="962">
        <f t="shared" si="5"/>
        <v>0</v>
      </c>
    </row>
    <row r="76" spans="1:14" ht="15.6">
      <c r="A76" s="956"/>
      <c r="B76" s="956"/>
      <c r="C76" s="956"/>
      <c r="D76" s="958"/>
      <c r="E76" s="959"/>
      <c r="F76" s="963">
        <f>SUM(F74:F75)</f>
        <v>1442225</v>
      </c>
      <c r="G76" s="956"/>
      <c r="H76" s="961"/>
      <c r="I76" s="962"/>
      <c r="J76" s="962"/>
      <c r="K76" s="962"/>
      <c r="L76" s="962"/>
      <c r="M76" s="962"/>
      <c r="N76" s="962"/>
    </row>
    <row r="77" spans="1:14" ht="15.6">
      <c r="A77" s="956"/>
      <c r="B77" s="956"/>
      <c r="C77" s="956"/>
      <c r="D77" s="958"/>
      <c r="E77" s="959"/>
      <c r="F77" s="960"/>
      <c r="G77" s="956"/>
      <c r="H77" s="961"/>
      <c r="I77" s="962"/>
      <c r="J77" s="962"/>
      <c r="K77" s="962"/>
      <c r="L77" s="962"/>
      <c r="M77" s="962"/>
      <c r="N77" s="962"/>
    </row>
    <row r="78" spans="1:14" ht="15.6">
      <c r="A78" s="956">
        <v>4</v>
      </c>
      <c r="B78" s="957" t="s">
        <v>541</v>
      </c>
      <c r="C78" s="956"/>
      <c r="D78" s="958">
        <v>3116</v>
      </c>
      <c r="E78" s="959">
        <v>44995</v>
      </c>
      <c r="F78" s="964">
        <v>265188</v>
      </c>
      <c r="G78" s="956">
        <v>30</v>
      </c>
      <c r="H78" s="961">
        <f t="shared" si="0"/>
        <v>45025</v>
      </c>
      <c r="I78" s="962">
        <f t="shared" si="1"/>
        <v>-8</v>
      </c>
      <c r="J78" s="962">
        <f t="shared" si="6"/>
        <v>265188</v>
      </c>
      <c r="K78" s="962">
        <f t="shared" si="2"/>
        <v>0</v>
      </c>
      <c r="L78" s="962">
        <f t="shared" si="3"/>
        <v>0</v>
      </c>
      <c r="M78" s="962">
        <f t="shared" si="4"/>
        <v>0</v>
      </c>
      <c r="N78" s="962">
        <f t="shared" si="5"/>
        <v>0</v>
      </c>
    </row>
    <row r="79" spans="1:14" ht="15.6">
      <c r="A79" s="956"/>
      <c r="B79" s="956"/>
      <c r="C79" s="956"/>
      <c r="D79" s="958">
        <v>3141</v>
      </c>
      <c r="E79" s="959">
        <v>44998</v>
      </c>
      <c r="F79" s="964">
        <v>417317</v>
      </c>
      <c r="G79" s="956">
        <v>30</v>
      </c>
      <c r="H79" s="961">
        <f t="shared" si="0"/>
        <v>45028</v>
      </c>
      <c r="I79" s="962">
        <f t="shared" si="1"/>
        <v>-11</v>
      </c>
      <c r="J79" s="962">
        <f t="shared" si="6"/>
        <v>417317</v>
      </c>
      <c r="K79" s="962">
        <f t="shared" si="2"/>
        <v>0</v>
      </c>
      <c r="L79" s="962">
        <f t="shared" si="3"/>
        <v>0</v>
      </c>
      <c r="M79" s="962">
        <f t="shared" si="4"/>
        <v>0</v>
      </c>
      <c r="N79" s="962">
        <f t="shared" si="5"/>
        <v>0</v>
      </c>
    </row>
    <row r="80" spans="1:14" ht="15.6">
      <c r="A80" s="956"/>
      <c r="B80" s="956"/>
      <c r="C80" s="956"/>
      <c r="D80" s="958">
        <v>3191</v>
      </c>
      <c r="E80" s="959">
        <v>45004</v>
      </c>
      <c r="F80" s="964">
        <v>459328</v>
      </c>
      <c r="G80" s="956">
        <v>30</v>
      </c>
      <c r="H80" s="961">
        <f t="shared" ref="H80:H162" si="7">+E80+G80</f>
        <v>45034</v>
      </c>
      <c r="I80" s="962">
        <f t="shared" ref="I80:I162" si="8">+$Q$1-H80+1</f>
        <v>-17</v>
      </c>
      <c r="J80" s="962">
        <f t="shared" ref="J80:J162" si="9">IF(I80&lt;=30,F80,0)</f>
        <v>459328</v>
      </c>
      <c r="K80" s="962">
        <f t="shared" ref="K80:K162" si="10">IF(I80&lt;=30,0,IF(I80&gt;60,0,F80))</f>
        <v>0</v>
      </c>
      <c r="L80" s="962">
        <f t="shared" ref="L80:L162" si="11">IF(I80&lt;=60,0,IF(I80&gt;90,0,F80))</f>
        <v>0</v>
      </c>
      <c r="M80" s="962">
        <f t="shared" ref="M80:M162" si="12">IF(I80&lt;=90,0,IF(I80&gt;120,0,F80))</f>
        <v>0</v>
      </c>
      <c r="N80" s="962">
        <f t="shared" ref="N80:N162" si="13">IF(I80&lt;=120,0,F80)</f>
        <v>0</v>
      </c>
    </row>
    <row r="81" spans="1:14" ht="15.6">
      <c r="A81" s="956"/>
      <c r="B81" s="956"/>
      <c r="C81" s="956"/>
      <c r="D81" s="958">
        <v>3241</v>
      </c>
      <c r="E81" s="959">
        <v>45009</v>
      </c>
      <c r="F81" s="964">
        <v>430204</v>
      </c>
      <c r="G81" s="956">
        <v>30</v>
      </c>
      <c r="H81" s="961">
        <f t="shared" si="7"/>
        <v>45039</v>
      </c>
      <c r="I81" s="962">
        <f t="shared" si="8"/>
        <v>-22</v>
      </c>
      <c r="J81" s="962">
        <f t="shared" si="9"/>
        <v>430204</v>
      </c>
      <c r="K81" s="962">
        <f t="shared" si="10"/>
        <v>0</v>
      </c>
      <c r="L81" s="962">
        <f t="shared" si="11"/>
        <v>0</v>
      </c>
      <c r="M81" s="962">
        <f t="shared" si="12"/>
        <v>0</v>
      </c>
      <c r="N81" s="962">
        <f t="shared" si="13"/>
        <v>0</v>
      </c>
    </row>
    <row r="82" spans="1:14" ht="15.6">
      <c r="A82" s="956"/>
      <c r="B82" s="956"/>
      <c r="C82" s="956"/>
      <c r="D82" s="958">
        <v>3262</v>
      </c>
      <c r="E82" s="959">
        <v>45011</v>
      </c>
      <c r="F82" s="964">
        <v>289704</v>
      </c>
      <c r="G82" s="956">
        <v>30</v>
      </c>
      <c r="H82" s="961">
        <f t="shared" si="7"/>
        <v>45041</v>
      </c>
      <c r="I82" s="962">
        <f t="shared" si="8"/>
        <v>-24</v>
      </c>
      <c r="J82" s="962">
        <f t="shared" si="9"/>
        <v>289704</v>
      </c>
      <c r="K82" s="962">
        <f t="shared" si="10"/>
        <v>0</v>
      </c>
      <c r="L82" s="962">
        <f t="shared" si="11"/>
        <v>0</v>
      </c>
      <c r="M82" s="962">
        <f t="shared" si="12"/>
        <v>0</v>
      </c>
      <c r="N82" s="962">
        <f t="shared" si="13"/>
        <v>0</v>
      </c>
    </row>
    <row r="83" spans="1:14" ht="15.6">
      <c r="A83" s="956"/>
      <c r="B83" s="956"/>
      <c r="C83" s="956"/>
      <c r="D83" s="958">
        <v>3309</v>
      </c>
      <c r="E83" s="959">
        <v>45016</v>
      </c>
      <c r="F83" s="964">
        <v>420387</v>
      </c>
      <c r="G83" s="956">
        <v>30</v>
      </c>
      <c r="H83" s="961">
        <f t="shared" si="7"/>
        <v>45046</v>
      </c>
      <c r="I83" s="962">
        <f t="shared" si="8"/>
        <v>-29</v>
      </c>
      <c r="J83" s="962">
        <f t="shared" si="9"/>
        <v>420387</v>
      </c>
      <c r="K83" s="962">
        <f t="shared" si="10"/>
        <v>0</v>
      </c>
      <c r="L83" s="962">
        <f t="shared" si="11"/>
        <v>0</v>
      </c>
      <c r="M83" s="962">
        <f t="shared" si="12"/>
        <v>0</v>
      </c>
      <c r="N83" s="962">
        <f t="shared" si="13"/>
        <v>0</v>
      </c>
    </row>
    <row r="84" spans="1:14" ht="15.6">
      <c r="A84" s="956"/>
      <c r="B84" s="956"/>
      <c r="C84" s="956"/>
      <c r="D84" s="958"/>
      <c r="E84" s="959"/>
      <c r="F84" s="966">
        <v>1</v>
      </c>
      <c r="G84" s="956">
        <v>30</v>
      </c>
      <c r="H84" s="961"/>
      <c r="I84" s="962"/>
      <c r="J84" s="962">
        <f t="shared" si="9"/>
        <v>1</v>
      </c>
      <c r="K84" s="962"/>
      <c r="L84" s="962"/>
      <c r="M84" s="962"/>
      <c r="N84" s="962"/>
    </row>
    <row r="85" spans="1:14" ht="15.6">
      <c r="A85" s="956"/>
      <c r="B85" s="956"/>
      <c r="C85" s="956"/>
      <c r="D85" s="958"/>
      <c r="E85" s="959"/>
      <c r="F85" s="967">
        <f>SUM(F78:F84)</f>
        <v>2282129</v>
      </c>
      <c r="G85" s="956"/>
      <c r="H85" s="961"/>
      <c r="I85" s="962"/>
      <c r="J85" s="962"/>
      <c r="K85" s="962"/>
      <c r="L85" s="962"/>
      <c r="M85" s="962"/>
      <c r="N85" s="962"/>
    </row>
    <row r="86" spans="1:14" ht="15.6">
      <c r="A86" s="956"/>
      <c r="B86" s="956"/>
      <c r="C86" s="956"/>
      <c r="D86" s="958"/>
      <c r="E86" s="959"/>
      <c r="F86" s="966"/>
      <c r="G86" s="956"/>
      <c r="H86" s="961"/>
      <c r="I86" s="962"/>
      <c r="J86" s="962"/>
      <c r="K86" s="962"/>
      <c r="L86" s="962"/>
      <c r="M86" s="962"/>
      <c r="N86" s="962"/>
    </row>
    <row r="87" spans="1:14" ht="15.6">
      <c r="A87" s="956">
        <v>5</v>
      </c>
      <c r="B87" s="957" t="s">
        <v>99</v>
      </c>
      <c r="C87" s="956"/>
      <c r="D87" s="958">
        <v>2832</v>
      </c>
      <c r="E87" s="959">
        <v>44965</v>
      </c>
      <c r="F87" s="966">
        <v>212153</v>
      </c>
      <c r="G87" s="956">
        <v>30</v>
      </c>
      <c r="H87" s="961">
        <f t="shared" si="7"/>
        <v>44995</v>
      </c>
      <c r="I87" s="962">
        <f t="shared" si="8"/>
        <v>22</v>
      </c>
      <c r="J87" s="962">
        <f t="shared" si="9"/>
        <v>212153</v>
      </c>
      <c r="K87" s="962">
        <f t="shared" si="10"/>
        <v>0</v>
      </c>
      <c r="L87" s="962">
        <f t="shared" si="11"/>
        <v>0</v>
      </c>
      <c r="M87" s="962">
        <f t="shared" si="12"/>
        <v>0</v>
      </c>
      <c r="N87" s="962">
        <f t="shared" si="13"/>
        <v>0</v>
      </c>
    </row>
    <row r="88" spans="1:14" ht="15.6">
      <c r="A88" s="956"/>
      <c r="B88" s="956"/>
      <c r="C88" s="956"/>
      <c r="D88" s="958">
        <v>2833</v>
      </c>
      <c r="E88" s="959">
        <v>44965</v>
      </c>
      <c r="F88" s="966">
        <v>213891</v>
      </c>
      <c r="G88" s="956">
        <v>30</v>
      </c>
      <c r="H88" s="961">
        <f t="shared" si="7"/>
        <v>44995</v>
      </c>
      <c r="I88" s="962">
        <f t="shared" si="8"/>
        <v>22</v>
      </c>
      <c r="J88" s="962">
        <f t="shared" si="9"/>
        <v>213891</v>
      </c>
      <c r="K88" s="962">
        <f t="shared" si="10"/>
        <v>0</v>
      </c>
      <c r="L88" s="962">
        <f t="shared" si="11"/>
        <v>0</v>
      </c>
      <c r="M88" s="962">
        <f t="shared" si="12"/>
        <v>0</v>
      </c>
      <c r="N88" s="962">
        <f t="shared" si="13"/>
        <v>0</v>
      </c>
    </row>
    <row r="89" spans="1:14" ht="15.6">
      <c r="A89" s="956"/>
      <c r="B89" s="956"/>
      <c r="C89" s="956"/>
      <c r="D89" s="958">
        <v>2839</v>
      </c>
      <c r="E89" s="959">
        <v>44965</v>
      </c>
      <c r="F89" s="966">
        <v>240736</v>
      </c>
      <c r="G89" s="956">
        <v>30</v>
      </c>
      <c r="H89" s="961">
        <f t="shared" si="7"/>
        <v>44995</v>
      </c>
      <c r="I89" s="962">
        <f t="shared" si="8"/>
        <v>22</v>
      </c>
      <c r="J89" s="962">
        <f t="shared" si="9"/>
        <v>240736</v>
      </c>
      <c r="K89" s="962">
        <f t="shared" si="10"/>
        <v>0</v>
      </c>
      <c r="L89" s="962">
        <f t="shared" si="11"/>
        <v>0</v>
      </c>
      <c r="M89" s="962">
        <f t="shared" si="12"/>
        <v>0</v>
      </c>
      <c r="N89" s="962">
        <f t="shared" si="13"/>
        <v>0</v>
      </c>
    </row>
    <row r="90" spans="1:14" ht="15.6">
      <c r="A90" s="956"/>
      <c r="B90" s="956"/>
      <c r="C90" s="956"/>
      <c r="D90" s="958">
        <v>2840</v>
      </c>
      <c r="E90" s="959">
        <v>44965</v>
      </c>
      <c r="F90" s="966">
        <v>190708</v>
      </c>
      <c r="G90" s="956">
        <v>30</v>
      </c>
      <c r="H90" s="961">
        <f t="shared" si="7"/>
        <v>44995</v>
      </c>
      <c r="I90" s="962">
        <f t="shared" si="8"/>
        <v>22</v>
      </c>
      <c r="J90" s="962">
        <f t="shared" si="9"/>
        <v>190708</v>
      </c>
      <c r="K90" s="962">
        <f t="shared" si="10"/>
        <v>0</v>
      </c>
      <c r="L90" s="962">
        <f t="shared" si="11"/>
        <v>0</v>
      </c>
      <c r="M90" s="962">
        <f t="shared" si="12"/>
        <v>0</v>
      </c>
      <c r="N90" s="962">
        <f t="shared" si="13"/>
        <v>0</v>
      </c>
    </row>
    <row r="91" spans="1:14" ht="15.6">
      <c r="A91" s="956"/>
      <c r="B91" s="956"/>
      <c r="C91" s="956"/>
      <c r="D91" s="958">
        <v>2841</v>
      </c>
      <c r="E91" s="959">
        <v>44965</v>
      </c>
      <c r="F91" s="966">
        <v>225393</v>
      </c>
      <c r="G91" s="956">
        <v>30</v>
      </c>
      <c r="H91" s="961">
        <f t="shared" si="7"/>
        <v>44995</v>
      </c>
      <c r="I91" s="962">
        <f t="shared" si="8"/>
        <v>22</v>
      </c>
      <c r="J91" s="962">
        <f t="shared" si="9"/>
        <v>225393</v>
      </c>
      <c r="K91" s="962">
        <f t="shared" si="10"/>
        <v>0</v>
      </c>
      <c r="L91" s="962">
        <f t="shared" si="11"/>
        <v>0</v>
      </c>
      <c r="M91" s="962">
        <f t="shared" si="12"/>
        <v>0</v>
      </c>
      <c r="N91" s="962">
        <f t="shared" si="13"/>
        <v>0</v>
      </c>
    </row>
    <row r="92" spans="1:14" ht="15.6">
      <c r="A92" s="956"/>
      <c r="B92" s="956"/>
      <c r="C92" s="956"/>
      <c r="D92" s="958">
        <v>2860</v>
      </c>
      <c r="E92" s="959">
        <v>44967</v>
      </c>
      <c r="F92" s="966">
        <v>286558</v>
      </c>
      <c r="G92" s="956">
        <v>30</v>
      </c>
      <c r="H92" s="961">
        <f t="shared" si="7"/>
        <v>44997</v>
      </c>
      <c r="I92" s="962">
        <f t="shared" si="8"/>
        <v>20</v>
      </c>
      <c r="J92" s="962">
        <f t="shared" si="9"/>
        <v>286558</v>
      </c>
      <c r="K92" s="962">
        <f t="shared" si="10"/>
        <v>0</v>
      </c>
      <c r="L92" s="962">
        <f t="shared" si="11"/>
        <v>0</v>
      </c>
      <c r="M92" s="962">
        <f t="shared" si="12"/>
        <v>0</v>
      </c>
      <c r="N92" s="962">
        <f t="shared" si="13"/>
        <v>0</v>
      </c>
    </row>
    <row r="93" spans="1:14" ht="15.6">
      <c r="A93" s="956"/>
      <c r="B93" s="956"/>
      <c r="C93" s="956"/>
      <c r="D93" s="958">
        <v>2866</v>
      </c>
      <c r="E93" s="959">
        <v>44968</v>
      </c>
      <c r="F93" s="966">
        <v>298186</v>
      </c>
      <c r="G93" s="956">
        <v>30</v>
      </c>
      <c r="H93" s="961">
        <f t="shared" si="7"/>
        <v>44998</v>
      </c>
      <c r="I93" s="962">
        <f t="shared" si="8"/>
        <v>19</v>
      </c>
      <c r="J93" s="962">
        <f t="shared" si="9"/>
        <v>298186</v>
      </c>
      <c r="K93" s="962">
        <f t="shared" si="10"/>
        <v>0</v>
      </c>
      <c r="L93" s="962">
        <f t="shared" si="11"/>
        <v>0</v>
      </c>
      <c r="M93" s="962">
        <f t="shared" si="12"/>
        <v>0</v>
      </c>
      <c r="N93" s="962">
        <f t="shared" si="13"/>
        <v>0</v>
      </c>
    </row>
    <row r="94" spans="1:14" ht="15.6">
      <c r="A94" s="956"/>
      <c r="B94" s="956"/>
      <c r="C94" s="956"/>
      <c r="D94" s="958">
        <v>2878</v>
      </c>
      <c r="E94" s="959">
        <v>44969</v>
      </c>
      <c r="F94" s="966">
        <v>233939</v>
      </c>
      <c r="G94" s="956">
        <v>30</v>
      </c>
      <c r="H94" s="961">
        <f t="shared" si="7"/>
        <v>44999</v>
      </c>
      <c r="I94" s="962">
        <f t="shared" si="8"/>
        <v>18</v>
      </c>
      <c r="J94" s="962">
        <f t="shared" si="9"/>
        <v>233939</v>
      </c>
      <c r="K94" s="962">
        <f t="shared" si="10"/>
        <v>0</v>
      </c>
      <c r="L94" s="962">
        <f t="shared" si="11"/>
        <v>0</v>
      </c>
      <c r="M94" s="962">
        <f t="shared" si="12"/>
        <v>0</v>
      </c>
      <c r="N94" s="962">
        <f t="shared" si="13"/>
        <v>0</v>
      </c>
    </row>
    <row r="95" spans="1:14" ht="15.6">
      <c r="A95" s="956"/>
      <c r="B95" s="956"/>
      <c r="C95" s="956"/>
      <c r="D95" s="958">
        <v>2881</v>
      </c>
      <c r="E95" s="959">
        <v>44970</v>
      </c>
      <c r="F95" s="966">
        <v>207338</v>
      </c>
      <c r="G95" s="956">
        <v>30</v>
      </c>
      <c r="H95" s="961">
        <f t="shared" si="7"/>
        <v>45000</v>
      </c>
      <c r="I95" s="962">
        <f t="shared" si="8"/>
        <v>17</v>
      </c>
      <c r="J95" s="962">
        <f t="shared" si="9"/>
        <v>207338</v>
      </c>
      <c r="K95" s="962">
        <f t="shared" si="10"/>
        <v>0</v>
      </c>
      <c r="L95" s="962">
        <f t="shared" si="11"/>
        <v>0</v>
      </c>
      <c r="M95" s="962">
        <f t="shared" si="12"/>
        <v>0</v>
      </c>
      <c r="N95" s="962">
        <f t="shared" si="13"/>
        <v>0</v>
      </c>
    </row>
    <row r="96" spans="1:14" ht="15.6">
      <c r="A96" s="956"/>
      <c r="B96" s="956"/>
      <c r="C96" s="956"/>
      <c r="D96" s="958">
        <v>2888</v>
      </c>
      <c r="E96" s="959">
        <v>44971</v>
      </c>
      <c r="F96" s="966">
        <v>228407</v>
      </c>
      <c r="G96" s="956">
        <v>30</v>
      </c>
      <c r="H96" s="961">
        <f t="shared" si="7"/>
        <v>45001</v>
      </c>
      <c r="I96" s="962">
        <f t="shared" si="8"/>
        <v>16</v>
      </c>
      <c r="J96" s="962">
        <f t="shared" si="9"/>
        <v>228407</v>
      </c>
      <c r="K96" s="962">
        <f t="shared" si="10"/>
        <v>0</v>
      </c>
      <c r="L96" s="962">
        <f t="shared" si="11"/>
        <v>0</v>
      </c>
      <c r="M96" s="962">
        <f t="shared" si="12"/>
        <v>0</v>
      </c>
      <c r="N96" s="962">
        <f t="shared" si="13"/>
        <v>0</v>
      </c>
    </row>
    <row r="97" spans="1:14" ht="15.6">
      <c r="A97" s="956"/>
      <c r="B97" s="956"/>
      <c r="C97" s="956"/>
      <c r="D97" s="958">
        <v>2895</v>
      </c>
      <c r="E97" s="959">
        <v>44971</v>
      </c>
      <c r="F97" s="966">
        <v>275522</v>
      </c>
      <c r="G97" s="956">
        <v>30</v>
      </c>
      <c r="H97" s="961">
        <f t="shared" si="7"/>
        <v>45001</v>
      </c>
      <c r="I97" s="962">
        <f t="shared" si="8"/>
        <v>16</v>
      </c>
      <c r="J97" s="962">
        <f t="shared" si="9"/>
        <v>275522</v>
      </c>
      <c r="K97" s="962">
        <f t="shared" si="10"/>
        <v>0</v>
      </c>
      <c r="L97" s="962">
        <f t="shared" si="11"/>
        <v>0</v>
      </c>
      <c r="M97" s="962">
        <f t="shared" si="12"/>
        <v>0</v>
      </c>
      <c r="N97" s="962">
        <f t="shared" si="13"/>
        <v>0</v>
      </c>
    </row>
    <row r="98" spans="1:14" ht="15.6">
      <c r="A98" s="956"/>
      <c r="B98" s="956"/>
      <c r="C98" s="956"/>
      <c r="D98" s="968">
        <v>2901</v>
      </c>
      <c r="E98" s="969">
        <v>44972</v>
      </c>
      <c r="F98" s="966">
        <v>242145</v>
      </c>
      <c r="G98" s="956">
        <v>30</v>
      </c>
      <c r="H98" s="961">
        <f t="shared" si="7"/>
        <v>45002</v>
      </c>
      <c r="I98" s="962">
        <f t="shared" si="8"/>
        <v>15</v>
      </c>
      <c r="J98" s="962">
        <f t="shared" si="9"/>
        <v>242145</v>
      </c>
      <c r="K98" s="962">
        <f t="shared" si="10"/>
        <v>0</v>
      </c>
      <c r="L98" s="962">
        <f t="shared" si="11"/>
        <v>0</v>
      </c>
      <c r="M98" s="962">
        <f t="shared" si="12"/>
        <v>0</v>
      </c>
      <c r="N98" s="962">
        <f t="shared" si="13"/>
        <v>0</v>
      </c>
    </row>
    <row r="99" spans="1:14" ht="15.6">
      <c r="A99" s="956"/>
      <c r="B99" s="956"/>
      <c r="C99" s="956"/>
      <c r="D99" s="958">
        <v>2906</v>
      </c>
      <c r="E99" s="959">
        <v>44973</v>
      </c>
      <c r="F99" s="966">
        <v>231266</v>
      </c>
      <c r="G99" s="956">
        <v>30</v>
      </c>
      <c r="H99" s="961">
        <f t="shared" si="7"/>
        <v>45003</v>
      </c>
      <c r="I99" s="962">
        <f t="shared" si="8"/>
        <v>14</v>
      </c>
      <c r="J99" s="962">
        <f t="shared" si="9"/>
        <v>231266</v>
      </c>
      <c r="K99" s="962">
        <f t="shared" si="10"/>
        <v>0</v>
      </c>
      <c r="L99" s="962">
        <f t="shared" si="11"/>
        <v>0</v>
      </c>
      <c r="M99" s="962">
        <f t="shared" si="12"/>
        <v>0</v>
      </c>
      <c r="N99" s="962">
        <f t="shared" si="13"/>
        <v>0</v>
      </c>
    </row>
    <row r="100" spans="1:14" ht="15.6">
      <c r="A100" s="956"/>
      <c r="B100" s="956"/>
      <c r="C100" s="956"/>
      <c r="D100" s="958">
        <v>2907</v>
      </c>
      <c r="E100" s="959">
        <v>44973</v>
      </c>
      <c r="F100" s="966">
        <v>205533</v>
      </c>
      <c r="G100" s="956">
        <v>30</v>
      </c>
      <c r="H100" s="961">
        <f t="shared" si="7"/>
        <v>45003</v>
      </c>
      <c r="I100" s="962">
        <f t="shared" si="8"/>
        <v>14</v>
      </c>
      <c r="J100" s="962">
        <f t="shared" si="9"/>
        <v>205533</v>
      </c>
      <c r="K100" s="962">
        <f t="shared" si="10"/>
        <v>0</v>
      </c>
      <c r="L100" s="962">
        <f t="shared" si="11"/>
        <v>0</v>
      </c>
      <c r="M100" s="962">
        <f t="shared" si="12"/>
        <v>0</v>
      </c>
      <c r="N100" s="962">
        <f t="shared" si="13"/>
        <v>0</v>
      </c>
    </row>
    <row r="101" spans="1:14" ht="15.6">
      <c r="A101" s="956"/>
      <c r="B101" s="956"/>
      <c r="C101" s="956"/>
      <c r="D101" s="958">
        <v>2908</v>
      </c>
      <c r="E101" s="959">
        <v>44973</v>
      </c>
      <c r="F101" s="966">
        <v>233163</v>
      </c>
      <c r="G101" s="956">
        <v>30</v>
      </c>
      <c r="H101" s="961">
        <f t="shared" si="7"/>
        <v>45003</v>
      </c>
      <c r="I101" s="962">
        <f t="shared" si="8"/>
        <v>14</v>
      </c>
      <c r="J101" s="962">
        <f t="shared" si="9"/>
        <v>233163</v>
      </c>
      <c r="K101" s="962">
        <f t="shared" si="10"/>
        <v>0</v>
      </c>
      <c r="L101" s="962">
        <f t="shared" si="11"/>
        <v>0</v>
      </c>
      <c r="M101" s="962">
        <f t="shared" si="12"/>
        <v>0</v>
      </c>
      <c r="N101" s="962">
        <f t="shared" si="13"/>
        <v>0</v>
      </c>
    </row>
    <row r="102" spans="1:14" ht="15.6">
      <c r="A102" s="956"/>
      <c r="B102" s="956"/>
      <c r="C102" s="956"/>
      <c r="D102" s="958">
        <v>2915</v>
      </c>
      <c r="E102" s="959">
        <v>44973</v>
      </c>
      <c r="F102" s="966">
        <v>275637</v>
      </c>
      <c r="G102" s="956">
        <v>30</v>
      </c>
      <c r="H102" s="961">
        <f t="shared" si="7"/>
        <v>45003</v>
      </c>
      <c r="I102" s="962">
        <f t="shared" si="8"/>
        <v>14</v>
      </c>
      <c r="J102" s="962">
        <f t="shared" si="9"/>
        <v>275637</v>
      </c>
      <c r="K102" s="962">
        <f t="shared" si="10"/>
        <v>0</v>
      </c>
      <c r="L102" s="962">
        <f t="shared" si="11"/>
        <v>0</v>
      </c>
      <c r="M102" s="962">
        <f t="shared" si="12"/>
        <v>0</v>
      </c>
      <c r="N102" s="962">
        <f t="shared" si="13"/>
        <v>0</v>
      </c>
    </row>
    <row r="103" spans="1:14" ht="15.6">
      <c r="A103" s="956"/>
      <c r="B103" s="956"/>
      <c r="C103" s="956"/>
      <c r="D103" s="958">
        <v>2918</v>
      </c>
      <c r="E103" s="959">
        <v>44973</v>
      </c>
      <c r="F103" s="966">
        <v>301742</v>
      </c>
      <c r="G103" s="956">
        <v>30</v>
      </c>
      <c r="H103" s="961">
        <f t="shared" si="7"/>
        <v>45003</v>
      </c>
      <c r="I103" s="962">
        <f t="shared" si="8"/>
        <v>14</v>
      </c>
      <c r="J103" s="962">
        <f t="shared" si="9"/>
        <v>301742</v>
      </c>
      <c r="K103" s="962">
        <f t="shared" si="10"/>
        <v>0</v>
      </c>
      <c r="L103" s="962">
        <f t="shared" si="11"/>
        <v>0</v>
      </c>
      <c r="M103" s="962">
        <f t="shared" si="12"/>
        <v>0</v>
      </c>
      <c r="N103" s="962">
        <f t="shared" si="13"/>
        <v>0</v>
      </c>
    </row>
    <row r="104" spans="1:14" ht="15.6">
      <c r="A104" s="956"/>
      <c r="B104" s="956"/>
      <c r="C104" s="956"/>
      <c r="D104" s="958">
        <v>2921</v>
      </c>
      <c r="E104" s="959">
        <v>44974</v>
      </c>
      <c r="F104" s="966">
        <v>240820</v>
      </c>
      <c r="G104" s="956">
        <v>30</v>
      </c>
      <c r="H104" s="961">
        <f t="shared" si="7"/>
        <v>45004</v>
      </c>
      <c r="I104" s="962">
        <f t="shared" si="8"/>
        <v>13</v>
      </c>
      <c r="J104" s="962">
        <f t="shared" si="9"/>
        <v>240820</v>
      </c>
      <c r="K104" s="962">
        <f t="shared" si="10"/>
        <v>0</v>
      </c>
      <c r="L104" s="962">
        <f t="shared" si="11"/>
        <v>0</v>
      </c>
      <c r="M104" s="962">
        <f t="shared" si="12"/>
        <v>0</v>
      </c>
      <c r="N104" s="962">
        <f t="shared" si="13"/>
        <v>0</v>
      </c>
    </row>
    <row r="105" spans="1:14" ht="15.6">
      <c r="A105" s="956"/>
      <c r="B105" s="956"/>
      <c r="C105" s="956"/>
      <c r="D105" s="958">
        <v>2925</v>
      </c>
      <c r="E105" s="959">
        <v>44974</v>
      </c>
      <c r="F105" s="966">
        <v>222063</v>
      </c>
      <c r="G105" s="956">
        <v>30</v>
      </c>
      <c r="H105" s="961">
        <f t="shared" si="7"/>
        <v>45004</v>
      </c>
      <c r="I105" s="962">
        <f t="shared" si="8"/>
        <v>13</v>
      </c>
      <c r="J105" s="962">
        <f t="shared" si="9"/>
        <v>222063</v>
      </c>
      <c r="K105" s="962">
        <f t="shared" si="10"/>
        <v>0</v>
      </c>
      <c r="L105" s="962">
        <f t="shared" si="11"/>
        <v>0</v>
      </c>
      <c r="M105" s="962">
        <f t="shared" si="12"/>
        <v>0</v>
      </c>
      <c r="N105" s="962">
        <f t="shared" si="13"/>
        <v>0</v>
      </c>
    </row>
    <row r="106" spans="1:14" ht="15.6">
      <c r="A106" s="956"/>
      <c r="B106" s="956"/>
      <c r="C106" s="956"/>
      <c r="D106" s="958">
        <v>2927</v>
      </c>
      <c r="E106" s="959">
        <v>44974</v>
      </c>
      <c r="F106" s="966">
        <v>225981</v>
      </c>
      <c r="G106" s="956">
        <v>30</v>
      </c>
      <c r="H106" s="961">
        <f t="shared" si="7"/>
        <v>45004</v>
      </c>
      <c r="I106" s="962">
        <f t="shared" si="8"/>
        <v>13</v>
      </c>
      <c r="J106" s="962">
        <f t="shared" si="9"/>
        <v>225981</v>
      </c>
      <c r="K106" s="962">
        <f t="shared" si="10"/>
        <v>0</v>
      </c>
      <c r="L106" s="962">
        <f t="shared" si="11"/>
        <v>0</v>
      </c>
      <c r="M106" s="962">
        <f t="shared" si="12"/>
        <v>0</v>
      </c>
      <c r="N106" s="962">
        <f t="shared" si="13"/>
        <v>0</v>
      </c>
    </row>
    <row r="107" spans="1:14" ht="15.6">
      <c r="A107" s="956"/>
      <c r="B107" s="956"/>
      <c r="C107" s="956"/>
      <c r="D107" s="958">
        <v>2931</v>
      </c>
      <c r="E107" s="959">
        <v>44974</v>
      </c>
      <c r="F107" s="966">
        <v>280910</v>
      </c>
      <c r="G107" s="956">
        <v>30</v>
      </c>
      <c r="H107" s="961">
        <f t="shared" si="7"/>
        <v>45004</v>
      </c>
      <c r="I107" s="962">
        <f t="shared" si="8"/>
        <v>13</v>
      </c>
      <c r="J107" s="962">
        <f t="shared" si="9"/>
        <v>280910</v>
      </c>
      <c r="K107" s="962">
        <f t="shared" si="10"/>
        <v>0</v>
      </c>
      <c r="L107" s="962">
        <f t="shared" si="11"/>
        <v>0</v>
      </c>
      <c r="M107" s="962">
        <f t="shared" si="12"/>
        <v>0</v>
      </c>
      <c r="N107" s="962">
        <f t="shared" si="13"/>
        <v>0</v>
      </c>
    </row>
    <row r="108" spans="1:14" ht="15.6">
      <c r="A108" s="956"/>
      <c r="B108" s="956"/>
      <c r="C108" s="956"/>
      <c r="D108" s="958">
        <v>2936</v>
      </c>
      <c r="E108" s="959">
        <v>44975</v>
      </c>
      <c r="F108" s="966">
        <v>199863</v>
      </c>
      <c r="G108" s="956">
        <v>30</v>
      </c>
      <c r="H108" s="961">
        <f t="shared" si="7"/>
        <v>45005</v>
      </c>
      <c r="I108" s="962">
        <f t="shared" si="8"/>
        <v>12</v>
      </c>
      <c r="J108" s="962">
        <f t="shared" si="9"/>
        <v>199863</v>
      </c>
      <c r="K108" s="962">
        <f t="shared" si="10"/>
        <v>0</v>
      </c>
      <c r="L108" s="962">
        <f t="shared" si="11"/>
        <v>0</v>
      </c>
      <c r="M108" s="962">
        <f t="shared" si="12"/>
        <v>0</v>
      </c>
      <c r="N108" s="962">
        <f t="shared" si="13"/>
        <v>0</v>
      </c>
    </row>
    <row r="109" spans="1:14" ht="15.6">
      <c r="A109" s="956"/>
      <c r="B109" s="956"/>
      <c r="C109" s="956"/>
      <c r="D109" s="958">
        <v>2939</v>
      </c>
      <c r="E109" s="959">
        <v>44975</v>
      </c>
      <c r="F109" s="966">
        <v>222978</v>
      </c>
      <c r="G109" s="956">
        <v>30</v>
      </c>
      <c r="H109" s="961">
        <f t="shared" si="7"/>
        <v>45005</v>
      </c>
      <c r="I109" s="962">
        <f t="shared" si="8"/>
        <v>12</v>
      </c>
      <c r="J109" s="962">
        <f t="shared" si="9"/>
        <v>222978</v>
      </c>
      <c r="K109" s="962">
        <f t="shared" si="10"/>
        <v>0</v>
      </c>
      <c r="L109" s="962">
        <f t="shared" si="11"/>
        <v>0</v>
      </c>
      <c r="M109" s="962">
        <f t="shared" si="12"/>
        <v>0</v>
      </c>
      <c r="N109" s="962">
        <f t="shared" si="13"/>
        <v>0</v>
      </c>
    </row>
    <row r="110" spans="1:14" ht="15.6">
      <c r="A110" s="956"/>
      <c r="B110" s="956"/>
      <c r="C110" s="956"/>
      <c r="D110" s="958">
        <v>2941</v>
      </c>
      <c r="E110" s="959">
        <v>44975</v>
      </c>
      <c r="F110" s="966">
        <v>226138</v>
      </c>
      <c r="G110" s="956">
        <v>30</v>
      </c>
      <c r="H110" s="961">
        <f t="shared" si="7"/>
        <v>45005</v>
      </c>
      <c r="I110" s="962">
        <f t="shared" si="8"/>
        <v>12</v>
      </c>
      <c r="J110" s="962">
        <f t="shared" si="9"/>
        <v>226138</v>
      </c>
      <c r="K110" s="962">
        <f t="shared" si="10"/>
        <v>0</v>
      </c>
      <c r="L110" s="962">
        <f t="shared" si="11"/>
        <v>0</v>
      </c>
      <c r="M110" s="962">
        <f t="shared" si="12"/>
        <v>0</v>
      </c>
      <c r="N110" s="962">
        <f t="shared" si="13"/>
        <v>0</v>
      </c>
    </row>
    <row r="111" spans="1:14" ht="15.6">
      <c r="A111" s="956"/>
      <c r="B111" s="956"/>
      <c r="C111" s="956"/>
      <c r="D111" s="958">
        <v>2950</v>
      </c>
      <c r="E111" s="959">
        <v>44977</v>
      </c>
      <c r="F111" s="966">
        <v>273124</v>
      </c>
      <c r="G111" s="956">
        <v>30</v>
      </c>
      <c r="H111" s="961">
        <f t="shared" si="7"/>
        <v>45007</v>
      </c>
      <c r="I111" s="962">
        <f t="shared" si="8"/>
        <v>10</v>
      </c>
      <c r="J111" s="962">
        <f t="shared" si="9"/>
        <v>273124</v>
      </c>
      <c r="K111" s="962">
        <f t="shared" si="10"/>
        <v>0</v>
      </c>
      <c r="L111" s="962">
        <f t="shared" si="11"/>
        <v>0</v>
      </c>
      <c r="M111" s="962">
        <f t="shared" si="12"/>
        <v>0</v>
      </c>
      <c r="N111" s="962">
        <f t="shared" si="13"/>
        <v>0</v>
      </c>
    </row>
    <row r="112" spans="1:14" ht="15.6">
      <c r="A112" s="956"/>
      <c r="B112" s="956"/>
      <c r="C112" s="956"/>
      <c r="D112" s="958">
        <v>2971</v>
      </c>
      <c r="E112" s="959">
        <v>44978</v>
      </c>
      <c r="F112" s="966">
        <v>267183</v>
      </c>
      <c r="G112" s="956">
        <v>30</v>
      </c>
      <c r="H112" s="961">
        <f t="shared" si="7"/>
        <v>45008</v>
      </c>
      <c r="I112" s="962">
        <f t="shared" si="8"/>
        <v>9</v>
      </c>
      <c r="J112" s="962">
        <f t="shared" si="9"/>
        <v>267183</v>
      </c>
      <c r="K112" s="962">
        <f t="shared" si="10"/>
        <v>0</v>
      </c>
      <c r="L112" s="962">
        <f t="shared" si="11"/>
        <v>0</v>
      </c>
      <c r="M112" s="962">
        <f t="shared" si="12"/>
        <v>0</v>
      </c>
      <c r="N112" s="962">
        <f t="shared" si="13"/>
        <v>0</v>
      </c>
    </row>
    <row r="113" spans="1:14" ht="15.6">
      <c r="A113" s="956"/>
      <c r="B113" s="956"/>
      <c r="C113" s="956"/>
      <c r="D113" s="958">
        <v>2987</v>
      </c>
      <c r="E113" s="959">
        <v>44980</v>
      </c>
      <c r="F113" s="966">
        <v>207891</v>
      </c>
      <c r="G113" s="956">
        <v>30</v>
      </c>
      <c r="H113" s="961">
        <f t="shared" si="7"/>
        <v>45010</v>
      </c>
      <c r="I113" s="962">
        <f t="shared" si="8"/>
        <v>7</v>
      </c>
      <c r="J113" s="962">
        <f t="shared" si="9"/>
        <v>207891</v>
      </c>
      <c r="K113" s="962">
        <f t="shared" si="10"/>
        <v>0</v>
      </c>
      <c r="L113" s="962">
        <f t="shared" si="11"/>
        <v>0</v>
      </c>
      <c r="M113" s="962">
        <f t="shared" si="12"/>
        <v>0</v>
      </c>
      <c r="N113" s="962">
        <f t="shared" si="13"/>
        <v>0</v>
      </c>
    </row>
    <row r="114" spans="1:14" ht="15.6">
      <c r="A114" s="956"/>
      <c r="B114" s="956"/>
      <c r="C114" s="956"/>
      <c r="D114" s="958">
        <v>2990</v>
      </c>
      <c r="E114" s="959">
        <v>44980</v>
      </c>
      <c r="F114" s="966">
        <v>209810</v>
      </c>
      <c r="G114" s="956">
        <v>30</v>
      </c>
      <c r="H114" s="961">
        <f t="shared" si="7"/>
        <v>45010</v>
      </c>
      <c r="I114" s="962">
        <f t="shared" si="8"/>
        <v>7</v>
      </c>
      <c r="J114" s="962">
        <f t="shared" si="9"/>
        <v>209810</v>
      </c>
      <c r="K114" s="962">
        <f t="shared" si="10"/>
        <v>0</v>
      </c>
      <c r="L114" s="962">
        <f t="shared" si="11"/>
        <v>0</v>
      </c>
      <c r="M114" s="962">
        <f t="shared" si="12"/>
        <v>0</v>
      </c>
      <c r="N114" s="962">
        <f t="shared" si="13"/>
        <v>0</v>
      </c>
    </row>
    <row r="115" spans="1:14" ht="15.6">
      <c r="A115" s="956"/>
      <c r="B115" s="956"/>
      <c r="C115" s="956"/>
      <c r="D115" s="958">
        <v>2997</v>
      </c>
      <c r="E115" s="959">
        <v>44980</v>
      </c>
      <c r="F115" s="966">
        <v>194137</v>
      </c>
      <c r="G115" s="956">
        <v>30</v>
      </c>
      <c r="H115" s="961">
        <f t="shared" si="7"/>
        <v>45010</v>
      </c>
      <c r="I115" s="962">
        <f t="shared" si="8"/>
        <v>7</v>
      </c>
      <c r="J115" s="962">
        <f t="shared" si="9"/>
        <v>194137</v>
      </c>
      <c r="K115" s="962">
        <f t="shared" si="10"/>
        <v>0</v>
      </c>
      <c r="L115" s="962">
        <f t="shared" si="11"/>
        <v>0</v>
      </c>
      <c r="M115" s="962">
        <f t="shared" si="12"/>
        <v>0</v>
      </c>
      <c r="N115" s="962">
        <f t="shared" si="13"/>
        <v>0</v>
      </c>
    </row>
    <row r="116" spans="1:14" ht="15.6">
      <c r="A116" s="956"/>
      <c r="B116" s="956"/>
      <c r="C116" s="956"/>
      <c r="D116" s="958">
        <v>2998</v>
      </c>
      <c r="E116" s="959">
        <v>44980</v>
      </c>
      <c r="F116" s="966">
        <v>243621</v>
      </c>
      <c r="G116" s="956">
        <v>30</v>
      </c>
      <c r="H116" s="961">
        <f t="shared" si="7"/>
        <v>45010</v>
      </c>
      <c r="I116" s="962">
        <f t="shared" si="8"/>
        <v>7</v>
      </c>
      <c r="J116" s="962">
        <f t="shared" si="9"/>
        <v>243621</v>
      </c>
      <c r="K116" s="962">
        <f t="shared" si="10"/>
        <v>0</v>
      </c>
      <c r="L116" s="962">
        <f t="shared" si="11"/>
        <v>0</v>
      </c>
      <c r="M116" s="962">
        <f t="shared" si="12"/>
        <v>0</v>
      </c>
      <c r="N116" s="962">
        <f t="shared" si="13"/>
        <v>0</v>
      </c>
    </row>
    <row r="117" spans="1:14" ht="15.6">
      <c r="A117" s="956"/>
      <c r="B117" s="956"/>
      <c r="C117" s="956"/>
      <c r="D117" s="958">
        <v>3000</v>
      </c>
      <c r="E117" s="959">
        <v>44981</v>
      </c>
      <c r="F117" s="966">
        <v>241028</v>
      </c>
      <c r="G117" s="956">
        <v>30</v>
      </c>
      <c r="H117" s="961">
        <f t="shared" si="7"/>
        <v>45011</v>
      </c>
      <c r="I117" s="962">
        <f t="shared" si="8"/>
        <v>6</v>
      </c>
      <c r="J117" s="962">
        <f t="shared" si="9"/>
        <v>241028</v>
      </c>
      <c r="K117" s="962">
        <f t="shared" si="10"/>
        <v>0</v>
      </c>
      <c r="L117" s="962">
        <f t="shared" si="11"/>
        <v>0</v>
      </c>
      <c r="M117" s="962">
        <f t="shared" si="12"/>
        <v>0</v>
      </c>
      <c r="N117" s="962">
        <f t="shared" si="13"/>
        <v>0</v>
      </c>
    </row>
    <row r="118" spans="1:14" ht="15.6">
      <c r="A118" s="956"/>
      <c r="B118" s="956"/>
      <c r="C118" s="956"/>
      <c r="D118" s="958">
        <v>3001</v>
      </c>
      <c r="E118" s="959">
        <v>44981</v>
      </c>
      <c r="F118" s="966">
        <v>197436</v>
      </c>
      <c r="G118" s="956">
        <v>30</v>
      </c>
      <c r="H118" s="961">
        <f t="shared" si="7"/>
        <v>45011</v>
      </c>
      <c r="I118" s="962">
        <f t="shared" si="8"/>
        <v>6</v>
      </c>
      <c r="J118" s="962">
        <f t="shared" si="9"/>
        <v>197436</v>
      </c>
      <c r="K118" s="962">
        <f t="shared" si="10"/>
        <v>0</v>
      </c>
      <c r="L118" s="962">
        <f t="shared" si="11"/>
        <v>0</v>
      </c>
      <c r="M118" s="962">
        <f t="shared" si="12"/>
        <v>0</v>
      </c>
      <c r="N118" s="962">
        <f t="shared" si="13"/>
        <v>0</v>
      </c>
    </row>
    <row r="119" spans="1:14" ht="15.6">
      <c r="A119" s="956"/>
      <c r="B119" s="956"/>
      <c r="C119" s="956"/>
      <c r="D119" s="958">
        <v>3004</v>
      </c>
      <c r="E119" s="959">
        <v>44981</v>
      </c>
      <c r="F119" s="966">
        <v>224250</v>
      </c>
      <c r="G119" s="956">
        <v>30</v>
      </c>
      <c r="H119" s="961">
        <f t="shared" si="7"/>
        <v>45011</v>
      </c>
      <c r="I119" s="962">
        <f t="shared" si="8"/>
        <v>6</v>
      </c>
      <c r="J119" s="962">
        <f t="shared" si="9"/>
        <v>224250</v>
      </c>
      <c r="K119" s="962">
        <f t="shared" si="10"/>
        <v>0</v>
      </c>
      <c r="L119" s="962">
        <f t="shared" si="11"/>
        <v>0</v>
      </c>
      <c r="M119" s="962">
        <f t="shared" si="12"/>
        <v>0</v>
      </c>
      <c r="N119" s="962">
        <f t="shared" si="13"/>
        <v>0</v>
      </c>
    </row>
    <row r="120" spans="1:14" ht="15.6">
      <c r="A120" s="956"/>
      <c r="B120" s="956"/>
      <c r="C120" s="956"/>
      <c r="D120" s="958">
        <v>3005</v>
      </c>
      <c r="E120" s="959">
        <v>44981</v>
      </c>
      <c r="F120" s="966">
        <v>227577</v>
      </c>
      <c r="G120" s="956">
        <v>30</v>
      </c>
      <c r="H120" s="961">
        <f t="shared" si="7"/>
        <v>45011</v>
      </c>
      <c r="I120" s="962">
        <f t="shared" si="8"/>
        <v>6</v>
      </c>
      <c r="J120" s="962">
        <f t="shared" si="9"/>
        <v>227577</v>
      </c>
      <c r="K120" s="962">
        <f t="shared" si="10"/>
        <v>0</v>
      </c>
      <c r="L120" s="962">
        <f t="shared" si="11"/>
        <v>0</v>
      </c>
      <c r="M120" s="962">
        <f t="shared" si="12"/>
        <v>0</v>
      </c>
      <c r="N120" s="962">
        <f t="shared" si="13"/>
        <v>0</v>
      </c>
    </row>
    <row r="121" spans="1:14" ht="15.6">
      <c r="A121" s="956"/>
      <c r="B121" s="956"/>
      <c r="C121" s="956"/>
      <c r="D121" s="958">
        <v>3006</v>
      </c>
      <c r="E121" s="959">
        <v>44981</v>
      </c>
      <c r="F121" s="966">
        <v>211758</v>
      </c>
      <c r="G121" s="956">
        <v>30</v>
      </c>
      <c r="H121" s="961">
        <f t="shared" si="7"/>
        <v>45011</v>
      </c>
      <c r="I121" s="962">
        <f t="shared" si="8"/>
        <v>6</v>
      </c>
      <c r="J121" s="962">
        <f t="shared" si="9"/>
        <v>211758</v>
      </c>
      <c r="K121" s="962">
        <f t="shared" si="10"/>
        <v>0</v>
      </c>
      <c r="L121" s="962">
        <f t="shared" si="11"/>
        <v>0</v>
      </c>
      <c r="M121" s="962">
        <f t="shared" si="12"/>
        <v>0</v>
      </c>
      <c r="N121" s="962">
        <f t="shared" si="13"/>
        <v>0</v>
      </c>
    </row>
    <row r="122" spans="1:14" ht="15.6">
      <c r="A122" s="956"/>
      <c r="B122" s="956"/>
      <c r="C122" s="956"/>
      <c r="D122" s="958">
        <v>3008</v>
      </c>
      <c r="E122" s="959">
        <v>44982</v>
      </c>
      <c r="F122" s="966">
        <v>256352</v>
      </c>
      <c r="G122" s="956">
        <v>30</v>
      </c>
      <c r="H122" s="961">
        <f t="shared" si="7"/>
        <v>45012</v>
      </c>
      <c r="I122" s="962">
        <f t="shared" si="8"/>
        <v>5</v>
      </c>
      <c r="J122" s="962">
        <f t="shared" si="9"/>
        <v>256352</v>
      </c>
      <c r="K122" s="962">
        <f t="shared" si="10"/>
        <v>0</v>
      </c>
      <c r="L122" s="962">
        <f t="shared" si="11"/>
        <v>0</v>
      </c>
      <c r="M122" s="962">
        <f t="shared" si="12"/>
        <v>0</v>
      </c>
      <c r="N122" s="962">
        <f t="shared" si="13"/>
        <v>0</v>
      </c>
    </row>
    <row r="123" spans="1:14" ht="15.6">
      <c r="A123" s="956"/>
      <c r="B123" s="956"/>
      <c r="C123" s="956"/>
      <c r="D123" s="958">
        <v>3016</v>
      </c>
      <c r="E123" s="959">
        <v>44983</v>
      </c>
      <c r="F123" s="966">
        <v>260540</v>
      </c>
      <c r="G123" s="956">
        <v>30</v>
      </c>
      <c r="H123" s="961">
        <f t="shared" si="7"/>
        <v>45013</v>
      </c>
      <c r="I123" s="962">
        <f t="shared" si="8"/>
        <v>4</v>
      </c>
      <c r="J123" s="962">
        <f t="shared" si="9"/>
        <v>260540</v>
      </c>
      <c r="K123" s="962">
        <f t="shared" si="10"/>
        <v>0</v>
      </c>
      <c r="L123" s="962">
        <f t="shared" si="11"/>
        <v>0</v>
      </c>
      <c r="M123" s="962">
        <f t="shared" si="12"/>
        <v>0</v>
      </c>
      <c r="N123" s="962">
        <f t="shared" si="13"/>
        <v>0</v>
      </c>
    </row>
    <row r="124" spans="1:14" ht="15.6">
      <c r="A124" s="956"/>
      <c r="B124" s="956"/>
      <c r="C124" s="956"/>
      <c r="D124" s="958">
        <v>3022</v>
      </c>
      <c r="E124" s="959">
        <v>44984</v>
      </c>
      <c r="F124" s="966">
        <v>217079</v>
      </c>
      <c r="G124" s="956">
        <v>30</v>
      </c>
      <c r="H124" s="961">
        <f t="shared" si="7"/>
        <v>45014</v>
      </c>
      <c r="I124" s="962">
        <f t="shared" si="8"/>
        <v>3</v>
      </c>
      <c r="J124" s="962">
        <f t="shared" si="9"/>
        <v>217079</v>
      </c>
      <c r="K124" s="962">
        <f t="shared" si="10"/>
        <v>0</v>
      </c>
      <c r="L124" s="962">
        <f t="shared" si="11"/>
        <v>0</v>
      </c>
      <c r="M124" s="962">
        <f t="shared" si="12"/>
        <v>0</v>
      </c>
      <c r="N124" s="962">
        <f t="shared" si="13"/>
        <v>0</v>
      </c>
    </row>
    <row r="125" spans="1:14" ht="15.6">
      <c r="A125" s="956"/>
      <c r="B125" s="956"/>
      <c r="C125" s="956"/>
      <c r="D125" s="958">
        <v>3023</v>
      </c>
      <c r="E125" s="959">
        <v>44984</v>
      </c>
      <c r="F125" s="966">
        <v>211570</v>
      </c>
      <c r="G125" s="956">
        <v>30</v>
      </c>
      <c r="H125" s="961">
        <f t="shared" si="7"/>
        <v>45014</v>
      </c>
      <c r="I125" s="962">
        <f t="shared" si="8"/>
        <v>3</v>
      </c>
      <c r="J125" s="962">
        <f t="shared" si="9"/>
        <v>211570</v>
      </c>
      <c r="K125" s="962">
        <f t="shared" si="10"/>
        <v>0</v>
      </c>
      <c r="L125" s="962">
        <f t="shared" si="11"/>
        <v>0</v>
      </c>
      <c r="M125" s="962">
        <f t="shared" si="12"/>
        <v>0</v>
      </c>
      <c r="N125" s="962">
        <f t="shared" si="13"/>
        <v>0</v>
      </c>
    </row>
    <row r="126" spans="1:14" ht="15.6">
      <c r="A126" s="956"/>
      <c r="B126" s="956"/>
      <c r="C126" s="956"/>
      <c r="D126" s="958">
        <v>3026</v>
      </c>
      <c r="E126" s="959">
        <v>44985</v>
      </c>
      <c r="F126" s="966">
        <v>180604</v>
      </c>
      <c r="G126" s="956">
        <v>30</v>
      </c>
      <c r="H126" s="961">
        <f t="shared" si="7"/>
        <v>45015</v>
      </c>
      <c r="I126" s="962">
        <f t="shared" si="8"/>
        <v>2</v>
      </c>
      <c r="J126" s="962">
        <f t="shared" si="9"/>
        <v>180604</v>
      </c>
      <c r="K126" s="962">
        <f t="shared" si="10"/>
        <v>0</v>
      </c>
      <c r="L126" s="962">
        <f t="shared" si="11"/>
        <v>0</v>
      </c>
      <c r="M126" s="962">
        <f t="shared" si="12"/>
        <v>0</v>
      </c>
      <c r="N126" s="962">
        <f t="shared" si="13"/>
        <v>0</v>
      </c>
    </row>
    <row r="127" spans="1:14" ht="15.6">
      <c r="A127" s="956"/>
      <c r="B127" s="956"/>
      <c r="C127" s="956"/>
      <c r="D127" s="958">
        <v>3027</v>
      </c>
      <c r="E127" s="959">
        <v>44985</v>
      </c>
      <c r="F127" s="966">
        <v>226783</v>
      </c>
      <c r="G127" s="956">
        <v>30</v>
      </c>
      <c r="H127" s="961">
        <f t="shared" si="7"/>
        <v>45015</v>
      </c>
      <c r="I127" s="962">
        <f t="shared" si="8"/>
        <v>2</v>
      </c>
      <c r="J127" s="962">
        <f t="shared" si="9"/>
        <v>226783</v>
      </c>
      <c r="K127" s="962">
        <f t="shared" si="10"/>
        <v>0</v>
      </c>
      <c r="L127" s="962">
        <f t="shared" si="11"/>
        <v>0</v>
      </c>
      <c r="M127" s="962">
        <f t="shared" si="12"/>
        <v>0</v>
      </c>
      <c r="N127" s="962">
        <f t="shared" si="13"/>
        <v>0</v>
      </c>
    </row>
    <row r="128" spans="1:14" ht="15.6">
      <c r="A128" s="956"/>
      <c r="B128" s="956"/>
      <c r="C128" s="956"/>
      <c r="D128" s="958">
        <v>3031</v>
      </c>
      <c r="E128" s="959">
        <v>44985</v>
      </c>
      <c r="F128" s="966">
        <v>243208</v>
      </c>
      <c r="G128" s="956">
        <v>30</v>
      </c>
      <c r="H128" s="961">
        <f t="shared" si="7"/>
        <v>45015</v>
      </c>
      <c r="I128" s="962">
        <f t="shared" si="8"/>
        <v>2</v>
      </c>
      <c r="J128" s="962">
        <f t="shared" si="9"/>
        <v>243208</v>
      </c>
      <c r="K128" s="962">
        <f t="shared" si="10"/>
        <v>0</v>
      </c>
      <c r="L128" s="962">
        <f t="shared" si="11"/>
        <v>0</v>
      </c>
      <c r="M128" s="962">
        <f t="shared" si="12"/>
        <v>0</v>
      </c>
      <c r="N128" s="962">
        <f t="shared" si="13"/>
        <v>0</v>
      </c>
    </row>
    <row r="129" spans="1:14" ht="15.6">
      <c r="A129" s="956"/>
      <c r="B129" s="956"/>
      <c r="C129" s="956"/>
      <c r="D129" s="958">
        <v>3035</v>
      </c>
      <c r="E129" s="959">
        <v>44986</v>
      </c>
      <c r="F129" s="964">
        <v>205005</v>
      </c>
      <c r="G129" s="956">
        <v>30</v>
      </c>
      <c r="H129" s="961">
        <f t="shared" si="7"/>
        <v>45016</v>
      </c>
      <c r="I129" s="962">
        <f t="shared" si="8"/>
        <v>1</v>
      </c>
      <c r="J129" s="962">
        <f t="shared" si="9"/>
        <v>205005</v>
      </c>
      <c r="K129" s="962">
        <f t="shared" si="10"/>
        <v>0</v>
      </c>
      <c r="L129" s="962">
        <f t="shared" si="11"/>
        <v>0</v>
      </c>
      <c r="M129" s="962">
        <f t="shared" si="12"/>
        <v>0</v>
      </c>
      <c r="N129" s="962">
        <f t="shared" si="13"/>
        <v>0</v>
      </c>
    </row>
    <row r="130" spans="1:14" ht="15.6">
      <c r="A130" s="956"/>
      <c r="B130" s="956"/>
      <c r="C130" s="956"/>
      <c r="D130" s="958">
        <v>3036</v>
      </c>
      <c r="E130" s="959">
        <v>44986</v>
      </c>
      <c r="F130" s="964">
        <v>179443</v>
      </c>
      <c r="G130" s="956">
        <v>30</v>
      </c>
      <c r="H130" s="961">
        <f t="shared" si="7"/>
        <v>45016</v>
      </c>
      <c r="I130" s="962">
        <f t="shared" si="8"/>
        <v>1</v>
      </c>
      <c r="J130" s="962">
        <f t="shared" si="9"/>
        <v>179443</v>
      </c>
      <c r="K130" s="962">
        <f t="shared" si="10"/>
        <v>0</v>
      </c>
      <c r="L130" s="962">
        <f t="shared" si="11"/>
        <v>0</v>
      </c>
      <c r="M130" s="962">
        <f t="shared" si="12"/>
        <v>0</v>
      </c>
      <c r="N130" s="962">
        <f t="shared" si="13"/>
        <v>0</v>
      </c>
    </row>
    <row r="131" spans="1:14" ht="15.6">
      <c r="A131" s="956"/>
      <c r="B131" s="956"/>
      <c r="C131" s="956"/>
      <c r="D131" s="958">
        <v>3039</v>
      </c>
      <c r="E131" s="959">
        <v>44986</v>
      </c>
      <c r="F131" s="964">
        <v>208801</v>
      </c>
      <c r="G131" s="956">
        <v>30</v>
      </c>
      <c r="H131" s="961">
        <f t="shared" si="7"/>
        <v>45016</v>
      </c>
      <c r="I131" s="962">
        <f t="shared" si="8"/>
        <v>1</v>
      </c>
      <c r="J131" s="962">
        <f t="shared" si="9"/>
        <v>208801</v>
      </c>
      <c r="K131" s="962">
        <f t="shared" si="10"/>
        <v>0</v>
      </c>
      <c r="L131" s="962">
        <f t="shared" si="11"/>
        <v>0</v>
      </c>
      <c r="M131" s="962">
        <f t="shared" si="12"/>
        <v>0</v>
      </c>
      <c r="N131" s="962">
        <f t="shared" si="13"/>
        <v>0</v>
      </c>
    </row>
    <row r="132" spans="1:14" ht="15.6">
      <c r="A132" s="956"/>
      <c r="B132" s="956"/>
      <c r="C132" s="956"/>
      <c r="D132" s="958">
        <v>3041</v>
      </c>
      <c r="E132" s="959">
        <v>44986</v>
      </c>
      <c r="F132" s="964">
        <v>210013</v>
      </c>
      <c r="G132" s="956">
        <v>30</v>
      </c>
      <c r="H132" s="961">
        <f t="shared" si="7"/>
        <v>45016</v>
      </c>
      <c r="I132" s="962">
        <f t="shared" si="8"/>
        <v>1</v>
      </c>
      <c r="J132" s="962">
        <f t="shared" si="9"/>
        <v>210013</v>
      </c>
      <c r="K132" s="962">
        <f t="shared" si="10"/>
        <v>0</v>
      </c>
      <c r="L132" s="962">
        <f t="shared" si="11"/>
        <v>0</v>
      </c>
      <c r="M132" s="962">
        <f t="shared" si="12"/>
        <v>0</v>
      </c>
      <c r="N132" s="962">
        <f t="shared" si="13"/>
        <v>0</v>
      </c>
    </row>
    <row r="133" spans="1:14" ht="15.6">
      <c r="A133" s="956"/>
      <c r="B133" s="956"/>
      <c r="C133" s="956"/>
      <c r="D133" s="958">
        <v>3042</v>
      </c>
      <c r="E133" s="959">
        <v>44986</v>
      </c>
      <c r="F133" s="964">
        <v>223856</v>
      </c>
      <c r="G133" s="956">
        <v>30</v>
      </c>
      <c r="H133" s="961">
        <f t="shared" si="7"/>
        <v>45016</v>
      </c>
      <c r="I133" s="962">
        <f t="shared" si="8"/>
        <v>1</v>
      </c>
      <c r="J133" s="962">
        <f t="shared" si="9"/>
        <v>223856</v>
      </c>
      <c r="K133" s="962">
        <f t="shared" si="10"/>
        <v>0</v>
      </c>
      <c r="L133" s="962">
        <f t="shared" si="11"/>
        <v>0</v>
      </c>
      <c r="M133" s="962">
        <f t="shared" si="12"/>
        <v>0</v>
      </c>
      <c r="N133" s="962">
        <f t="shared" si="13"/>
        <v>0</v>
      </c>
    </row>
    <row r="134" spans="1:14" ht="15.6">
      <c r="A134" s="956"/>
      <c r="B134" s="956"/>
      <c r="C134" s="956"/>
      <c r="D134" s="958">
        <v>3311</v>
      </c>
      <c r="E134" s="959">
        <v>45016</v>
      </c>
      <c r="F134" s="964">
        <v>205705</v>
      </c>
      <c r="G134" s="956">
        <v>30</v>
      </c>
      <c r="H134" s="961">
        <f t="shared" si="7"/>
        <v>45046</v>
      </c>
      <c r="I134" s="962">
        <f t="shared" si="8"/>
        <v>-29</v>
      </c>
      <c r="J134" s="962">
        <f t="shared" si="9"/>
        <v>205705</v>
      </c>
      <c r="K134" s="962">
        <f t="shared" si="10"/>
        <v>0</v>
      </c>
      <c r="L134" s="962">
        <f t="shared" si="11"/>
        <v>0</v>
      </c>
      <c r="M134" s="962">
        <f t="shared" si="12"/>
        <v>0</v>
      </c>
      <c r="N134" s="962">
        <f t="shared" si="13"/>
        <v>0</v>
      </c>
    </row>
    <row r="135" spans="1:14" ht="15.6">
      <c r="A135" s="956"/>
      <c r="B135" s="956"/>
      <c r="C135" s="956"/>
      <c r="D135" s="958" t="s">
        <v>2746</v>
      </c>
      <c r="E135" s="959">
        <v>44687</v>
      </c>
      <c r="F135" s="966">
        <v>-171167</v>
      </c>
      <c r="G135" s="956">
        <v>30</v>
      </c>
      <c r="H135" s="961">
        <f t="shared" si="7"/>
        <v>44717</v>
      </c>
      <c r="I135" s="962">
        <f t="shared" si="8"/>
        <v>300</v>
      </c>
      <c r="J135" s="962">
        <f t="shared" si="9"/>
        <v>0</v>
      </c>
      <c r="K135" s="962">
        <f t="shared" si="10"/>
        <v>0</v>
      </c>
      <c r="L135" s="962">
        <f t="shared" si="11"/>
        <v>0</v>
      </c>
      <c r="M135" s="962">
        <f t="shared" si="12"/>
        <v>0</v>
      </c>
      <c r="N135" s="962">
        <f t="shared" si="13"/>
        <v>-171167</v>
      </c>
    </row>
    <row r="136" spans="1:14" ht="15.6">
      <c r="A136" s="956"/>
      <c r="B136" s="956"/>
      <c r="C136" s="956"/>
      <c r="D136" s="958"/>
      <c r="E136" s="959"/>
      <c r="F136" s="966">
        <v>22333</v>
      </c>
      <c r="G136" s="956">
        <v>30</v>
      </c>
      <c r="H136" s="961"/>
      <c r="I136" s="962"/>
      <c r="J136" s="962">
        <f t="shared" si="9"/>
        <v>22333</v>
      </c>
      <c r="K136" s="962"/>
      <c r="L136" s="962"/>
      <c r="M136" s="962"/>
      <c r="N136" s="962"/>
    </row>
    <row r="137" spans="1:14" ht="15.6">
      <c r="A137" s="956"/>
      <c r="B137" s="956"/>
      <c r="C137" s="956"/>
      <c r="D137" s="958"/>
      <c r="E137" s="959"/>
      <c r="F137" s="967">
        <f>SUM(F87:F136)</f>
        <v>10899010</v>
      </c>
      <c r="G137" s="956"/>
      <c r="H137" s="961"/>
      <c r="I137" s="962"/>
      <c r="J137" s="962"/>
      <c r="K137" s="962"/>
      <c r="L137" s="962"/>
      <c r="M137" s="962"/>
      <c r="N137" s="962"/>
    </row>
    <row r="138" spans="1:14" ht="15.6">
      <c r="A138" s="956"/>
      <c r="B138" s="956"/>
      <c r="C138" s="956"/>
      <c r="D138" s="958"/>
      <c r="E138" s="959"/>
      <c r="F138" s="966"/>
      <c r="G138" s="956"/>
      <c r="H138" s="961"/>
      <c r="I138" s="962"/>
      <c r="J138" s="962"/>
      <c r="K138" s="962"/>
      <c r="L138" s="962"/>
      <c r="M138" s="962"/>
      <c r="N138" s="962"/>
    </row>
    <row r="139" spans="1:14" ht="15.6">
      <c r="A139" s="956"/>
      <c r="B139" s="956"/>
      <c r="C139" s="956"/>
      <c r="D139" s="958"/>
      <c r="E139" s="959"/>
      <c r="F139" s="966"/>
      <c r="G139" s="956"/>
      <c r="H139" s="961"/>
      <c r="I139" s="962"/>
      <c r="J139" s="962"/>
      <c r="K139" s="962"/>
      <c r="L139" s="962"/>
      <c r="M139" s="962"/>
      <c r="N139" s="962"/>
    </row>
    <row r="140" spans="1:14" ht="15.6">
      <c r="A140" s="956">
        <v>6</v>
      </c>
      <c r="B140" s="957" t="s">
        <v>100</v>
      </c>
      <c r="C140" s="956"/>
      <c r="D140" s="958">
        <v>2880</v>
      </c>
      <c r="E140" s="959">
        <v>44969</v>
      </c>
      <c r="F140" s="966">
        <v>72882</v>
      </c>
      <c r="G140" s="956">
        <v>30</v>
      </c>
      <c r="H140" s="961">
        <f t="shared" si="7"/>
        <v>44999</v>
      </c>
      <c r="I140" s="962">
        <f t="shared" si="8"/>
        <v>18</v>
      </c>
      <c r="J140" s="962">
        <f t="shared" si="9"/>
        <v>72882</v>
      </c>
      <c r="K140" s="962">
        <f t="shared" si="10"/>
        <v>0</v>
      </c>
      <c r="L140" s="962">
        <f t="shared" si="11"/>
        <v>0</v>
      </c>
      <c r="M140" s="962">
        <f t="shared" si="12"/>
        <v>0</v>
      </c>
      <c r="N140" s="962">
        <f t="shared" si="13"/>
        <v>0</v>
      </c>
    </row>
    <row r="141" spans="1:14" ht="15.6">
      <c r="A141" s="956"/>
      <c r="B141" s="956"/>
      <c r="C141" s="956"/>
      <c r="D141" s="958">
        <v>3216</v>
      </c>
      <c r="E141" s="959">
        <v>45007</v>
      </c>
      <c r="F141" s="964">
        <v>53478</v>
      </c>
      <c r="G141" s="956">
        <v>30</v>
      </c>
      <c r="H141" s="961">
        <f t="shared" si="7"/>
        <v>45037</v>
      </c>
      <c r="I141" s="962">
        <f t="shared" si="8"/>
        <v>-20</v>
      </c>
      <c r="J141" s="962">
        <f t="shared" si="9"/>
        <v>53478</v>
      </c>
      <c r="K141" s="962">
        <f t="shared" si="10"/>
        <v>0</v>
      </c>
      <c r="L141" s="962">
        <f t="shared" si="11"/>
        <v>0</v>
      </c>
      <c r="M141" s="962">
        <f t="shared" si="12"/>
        <v>0</v>
      </c>
      <c r="N141" s="962">
        <f t="shared" si="13"/>
        <v>0</v>
      </c>
    </row>
    <row r="142" spans="1:14" ht="15.6">
      <c r="A142" s="956"/>
      <c r="B142" s="956"/>
      <c r="C142" s="956"/>
      <c r="D142" s="958">
        <v>3288</v>
      </c>
      <c r="E142" s="959">
        <v>45013</v>
      </c>
      <c r="F142" s="964">
        <v>203021</v>
      </c>
      <c r="G142" s="956">
        <v>30</v>
      </c>
      <c r="H142" s="961">
        <f t="shared" si="7"/>
        <v>45043</v>
      </c>
      <c r="I142" s="962">
        <f t="shared" si="8"/>
        <v>-26</v>
      </c>
      <c r="J142" s="962">
        <f t="shared" si="9"/>
        <v>203021</v>
      </c>
      <c r="K142" s="962">
        <f t="shared" si="10"/>
        <v>0</v>
      </c>
      <c r="L142" s="962">
        <f t="shared" si="11"/>
        <v>0</v>
      </c>
      <c r="M142" s="962">
        <f t="shared" si="12"/>
        <v>0</v>
      </c>
      <c r="N142" s="962">
        <f t="shared" si="13"/>
        <v>0</v>
      </c>
    </row>
    <row r="143" spans="1:14" ht="15.6">
      <c r="A143" s="956"/>
      <c r="B143" s="956"/>
      <c r="C143" s="956"/>
      <c r="D143" s="958" t="s">
        <v>2747</v>
      </c>
      <c r="E143" s="959"/>
      <c r="F143" s="964">
        <v>-6162</v>
      </c>
      <c r="G143" s="956">
        <v>30</v>
      </c>
      <c r="H143" s="961"/>
      <c r="I143" s="962"/>
      <c r="J143" s="962">
        <f t="shared" si="9"/>
        <v>-6162</v>
      </c>
      <c r="K143" s="962"/>
      <c r="L143" s="962"/>
      <c r="M143" s="962"/>
      <c r="N143" s="962"/>
    </row>
    <row r="144" spans="1:14" ht="15.6">
      <c r="A144" s="956"/>
      <c r="B144" s="956"/>
      <c r="C144" s="956"/>
      <c r="D144" s="958" t="s">
        <v>2748</v>
      </c>
      <c r="E144" s="959"/>
      <c r="F144" s="964">
        <v>-14149</v>
      </c>
      <c r="G144" s="956">
        <v>30</v>
      </c>
      <c r="H144" s="961"/>
      <c r="I144" s="962"/>
      <c r="J144" s="962">
        <f t="shared" si="9"/>
        <v>-14149</v>
      </c>
      <c r="K144" s="962"/>
      <c r="L144" s="962"/>
      <c r="M144" s="962"/>
      <c r="N144" s="962"/>
    </row>
    <row r="145" spans="1:14" ht="15.6">
      <c r="A145" s="956"/>
      <c r="B145" s="956"/>
      <c r="C145" s="956"/>
      <c r="D145" s="958"/>
      <c r="E145" s="959"/>
      <c r="F145" s="964">
        <v>-3207</v>
      </c>
      <c r="G145" s="956">
        <v>30</v>
      </c>
      <c r="H145" s="961"/>
      <c r="I145" s="962"/>
      <c r="J145" s="962">
        <f t="shared" si="9"/>
        <v>-3207</v>
      </c>
      <c r="K145" s="962"/>
      <c r="L145" s="962"/>
      <c r="M145" s="962"/>
      <c r="N145" s="962"/>
    </row>
    <row r="146" spans="1:14" ht="15.6">
      <c r="A146" s="956"/>
      <c r="B146" s="956"/>
      <c r="C146" s="956"/>
      <c r="D146" s="958"/>
      <c r="E146" s="959"/>
      <c r="F146" s="965">
        <f>SUM(F140:F145)</f>
        <v>305863</v>
      </c>
      <c r="G146" s="956"/>
      <c r="H146" s="961"/>
      <c r="I146" s="962"/>
      <c r="J146" s="962"/>
      <c r="K146" s="962"/>
      <c r="L146" s="962"/>
      <c r="M146" s="962"/>
      <c r="N146" s="962"/>
    </row>
    <row r="147" spans="1:14" ht="15.6">
      <c r="A147" s="956"/>
      <c r="B147" s="956"/>
      <c r="C147" s="956"/>
      <c r="D147" s="958"/>
      <c r="E147" s="959"/>
      <c r="F147" s="964"/>
      <c r="G147" s="956"/>
      <c r="H147" s="961"/>
      <c r="I147" s="962"/>
      <c r="J147" s="962"/>
      <c r="K147" s="962"/>
      <c r="L147" s="962"/>
      <c r="M147" s="962"/>
      <c r="N147" s="962"/>
    </row>
    <row r="148" spans="1:14" ht="15.6">
      <c r="A148" s="956">
        <v>7</v>
      </c>
      <c r="B148" s="957" t="s">
        <v>550</v>
      </c>
      <c r="C148" s="956"/>
      <c r="D148" s="958">
        <v>3095</v>
      </c>
      <c r="E148" s="959">
        <v>44994</v>
      </c>
      <c r="F148" s="964">
        <v>172337</v>
      </c>
      <c r="G148" s="956">
        <v>30</v>
      </c>
      <c r="H148" s="961">
        <f t="shared" si="7"/>
        <v>45024</v>
      </c>
      <c r="I148" s="962">
        <f t="shared" si="8"/>
        <v>-7</v>
      </c>
      <c r="J148" s="962">
        <f t="shared" si="9"/>
        <v>172337</v>
      </c>
      <c r="K148" s="962">
        <f t="shared" si="10"/>
        <v>0</v>
      </c>
      <c r="L148" s="962">
        <f t="shared" si="11"/>
        <v>0</v>
      </c>
      <c r="M148" s="962">
        <f t="shared" si="12"/>
        <v>0</v>
      </c>
      <c r="N148" s="962">
        <f t="shared" si="13"/>
        <v>0</v>
      </c>
    </row>
    <row r="149" spans="1:14" ht="15.6">
      <c r="A149" s="956"/>
      <c r="B149" s="956"/>
      <c r="C149" s="956"/>
      <c r="D149" s="958">
        <v>3192</v>
      </c>
      <c r="E149" s="959">
        <v>45004</v>
      </c>
      <c r="F149" s="964">
        <v>144211</v>
      </c>
      <c r="G149" s="956">
        <v>30</v>
      </c>
      <c r="H149" s="961">
        <f t="shared" si="7"/>
        <v>45034</v>
      </c>
      <c r="I149" s="962">
        <f t="shared" si="8"/>
        <v>-17</v>
      </c>
      <c r="J149" s="962">
        <f t="shared" si="9"/>
        <v>144211</v>
      </c>
      <c r="K149" s="962">
        <f t="shared" si="10"/>
        <v>0</v>
      </c>
      <c r="L149" s="962">
        <f t="shared" si="11"/>
        <v>0</v>
      </c>
      <c r="M149" s="962">
        <f t="shared" si="12"/>
        <v>0</v>
      </c>
      <c r="N149" s="962">
        <f t="shared" si="13"/>
        <v>0</v>
      </c>
    </row>
    <row r="150" spans="1:14" ht="15.6">
      <c r="A150" s="956"/>
      <c r="B150" s="956"/>
      <c r="C150" s="956"/>
      <c r="D150" s="958">
        <v>3250</v>
      </c>
      <c r="E150" s="959">
        <v>45010</v>
      </c>
      <c r="F150" s="964">
        <v>82084</v>
      </c>
      <c r="G150" s="956">
        <v>30</v>
      </c>
      <c r="H150" s="961">
        <f t="shared" si="7"/>
        <v>45040</v>
      </c>
      <c r="I150" s="962">
        <f t="shared" si="8"/>
        <v>-23</v>
      </c>
      <c r="J150" s="962">
        <f t="shared" si="9"/>
        <v>82084</v>
      </c>
      <c r="K150" s="962">
        <f t="shared" si="10"/>
        <v>0</v>
      </c>
      <c r="L150" s="962">
        <f t="shared" si="11"/>
        <v>0</v>
      </c>
      <c r="M150" s="962">
        <f t="shared" si="12"/>
        <v>0</v>
      </c>
      <c r="N150" s="962">
        <f t="shared" si="13"/>
        <v>0</v>
      </c>
    </row>
    <row r="151" spans="1:14" ht="15.6">
      <c r="A151" s="956"/>
      <c r="B151" s="956"/>
      <c r="C151" s="956"/>
      <c r="D151" s="958">
        <v>3272</v>
      </c>
      <c r="E151" s="959">
        <v>45011</v>
      </c>
      <c r="F151" s="964">
        <v>58238</v>
      </c>
      <c r="G151" s="956">
        <v>30</v>
      </c>
      <c r="H151" s="961">
        <f t="shared" si="7"/>
        <v>45041</v>
      </c>
      <c r="I151" s="962">
        <f t="shared" si="8"/>
        <v>-24</v>
      </c>
      <c r="J151" s="962">
        <f t="shared" si="9"/>
        <v>58238</v>
      </c>
      <c r="K151" s="962">
        <f t="shared" si="10"/>
        <v>0</v>
      </c>
      <c r="L151" s="962">
        <f t="shared" si="11"/>
        <v>0</v>
      </c>
      <c r="M151" s="962">
        <f t="shared" si="12"/>
        <v>0</v>
      </c>
      <c r="N151" s="962">
        <f t="shared" si="13"/>
        <v>0</v>
      </c>
    </row>
    <row r="152" spans="1:14" ht="15.6">
      <c r="A152" s="956"/>
      <c r="B152" s="956"/>
      <c r="C152" s="956"/>
      <c r="D152" s="958"/>
      <c r="E152" s="959"/>
      <c r="F152" s="965">
        <f>SUM(F148:F151)</f>
        <v>456870</v>
      </c>
      <c r="G152" s="956"/>
      <c r="H152" s="961"/>
      <c r="I152" s="962"/>
      <c r="J152" s="962"/>
      <c r="K152" s="962"/>
      <c r="L152" s="962"/>
      <c r="M152" s="962"/>
      <c r="N152" s="962"/>
    </row>
    <row r="153" spans="1:14" ht="15.6">
      <c r="A153" s="956"/>
      <c r="B153" s="956"/>
      <c r="C153" s="956"/>
      <c r="D153" s="958"/>
      <c r="E153" s="959"/>
      <c r="F153" s="964"/>
      <c r="G153" s="956"/>
      <c r="H153" s="961"/>
      <c r="I153" s="962"/>
      <c r="J153" s="962"/>
      <c r="K153" s="962"/>
      <c r="L153" s="962"/>
      <c r="M153" s="962"/>
      <c r="N153" s="962"/>
    </row>
    <row r="154" spans="1:14" ht="15.6">
      <c r="A154" s="956">
        <v>8</v>
      </c>
      <c r="B154" s="957" t="s">
        <v>242</v>
      </c>
      <c r="C154" s="956"/>
      <c r="D154" s="958">
        <v>48</v>
      </c>
      <c r="E154" s="959">
        <v>44658</v>
      </c>
      <c r="F154" s="970">
        <v>114712</v>
      </c>
      <c r="G154" s="956">
        <v>30</v>
      </c>
      <c r="H154" s="961">
        <f t="shared" si="7"/>
        <v>44688</v>
      </c>
      <c r="I154" s="962">
        <f t="shared" si="8"/>
        <v>329</v>
      </c>
      <c r="J154" s="962">
        <f t="shared" si="9"/>
        <v>0</v>
      </c>
      <c r="K154" s="962">
        <f t="shared" si="10"/>
        <v>0</v>
      </c>
      <c r="L154" s="962">
        <f t="shared" si="11"/>
        <v>0</v>
      </c>
      <c r="M154" s="962">
        <f t="shared" si="12"/>
        <v>0</v>
      </c>
      <c r="N154" s="962">
        <f t="shared" si="13"/>
        <v>114712</v>
      </c>
    </row>
    <row r="155" spans="1:14" ht="15.6">
      <c r="A155" s="956"/>
      <c r="B155" s="956"/>
      <c r="C155" s="956"/>
      <c r="D155" s="958">
        <v>50</v>
      </c>
      <c r="E155" s="959">
        <v>44658</v>
      </c>
      <c r="F155" s="970">
        <v>116602</v>
      </c>
      <c r="G155" s="956">
        <v>30</v>
      </c>
      <c r="H155" s="961">
        <f t="shared" si="7"/>
        <v>44688</v>
      </c>
      <c r="I155" s="962">
        <f t="shared" si="8"/>
        <v>329</v>
      </c>
      <c r="J155" s="962">
        <f t="shared" si="9"/>
        <v>0</v>
      </c>
      <c r="K155" s="962">
        <f t="shared" si="10"/>
        <v>0</v>
      </c>
      <c r="L155" s="962">
        <f t="shared" si="11"/>
        <v>0</v>
      </c>
      <c r="M155" s="962">
        <f t="shared" si="12"/>
        <v>0</v>
      </c>
      <c r="N155" s="962">
        <f t="shared" si="13"/>
        <v>116602</v>
      </c>
    </row>
    <row r="156" spans="1:14" ht="15.6">
      <c r="A156" s="956"/>
      <c r="B156" s="956"/>
      <c r="C156" s="956"/>
      <c r="D156" s="958"/>
      <c r="E156" s="959"/>
      <c r="F156" s="971">
        <f>SUM(F154:F155)</f>
        <v>231314</v>
      </c>
      <c r="G156" s="956"/>
      <c r="H156" s="961"/>
      <c r="I156" s="962"/>
      <c r="J156" s="962"/>
      <c r="K156" s="962"/>
      <c r="L156" s="962"/>
      <c r="M156" s="962"/>
      <c r="N156" s="962"/>
    </row>
    <row r="157" spans="1:14" ht="15.6">
      <c r="A157" s="956"/>
      <c r="B157" s="956"/>
      <c r="C157" s="956"/>
      <c r="D157" s="958"/>
      <c r="E157" s="959"/>
      <c r="F157" s="972"/>
      <c r="G157" s="956"/>
      <c r="H157" s="961"/>
      <c r="I157" s="962"/>
      <c r="J157" s="962"/>
      <c r="K157" s="962"/>
      <c r="L157" s="962"/>
      <c r="M157" s="962"/>
      <c r="N157" s="962"/>
    </row>
    <row r="158" spans="1:14" ht="15.6">
      <c r="A158" s="956">
        <v>9</v>
      </c>
      <c r="B158" s="957" t="s">
        <v>496</v>
      </c>
      <c r="C158" s="956"/>
      <c r="D158" s="958">
        <v>2952</v>
      </c>
      <c r="E158" s="959">
        <v>44977</v>
      </c>
      <c r="F158" s="966">
        <v>270682</v>
      </c>
      <c r="G158" s="956">
        <v>30</v>
      </c>
      <c r="H158" s="961">
        <f t="shared" si="7"/>
        <v>45007</v>
      </c>
      <c r="I158" s="962">
        <f t="shared" si="8"/>
        <v>10</v>
      </c>
      <c r="J158" s="962">
        <f t="shared" si="9"/>
        <v>270682</v>
      </c>
      <c r="K158" s="962">
        <f t="shared" si="10"/>
        <v>0</v>
      </c>
      <c r="L158" s="962">
        <f t="shared" si="11"/>
        <v>0</v>
      </c>
      <c r="M158" s="962">
        <f t="shared" si="12"/>
        <v>0</v>
      </c>
      <c r="N158" s="962">
        <f t="shared" si="13"/>
        <v>0</v>
      </c>
    </row>
    <row r="159" spans="1:14" ht="15.6">
      <c r="A159" s="956"/>
      <c r="B159" s="956"/>
      <c r="C159" s="956"/>
      <c r="D159" s="968">
        <v>2967</v>
      </c>
      <c r="E159" s="969">
        <v>44978</v>
      </c>
      <c r="F159" s="966">
        <v>292444</v>
      </c>
      <c r="G159" s="956">
        <v>30</v>
      </c>
      <c r="H159" s="961">
        <f t="shared" si="7"/>
        <v>45008</v>
      </c>
      <c r="I159" s="962">
        <f t="shared" si="8"/>
        <v>9</v>
      </c>
      <c r="J159" s="962">
        <f t="shared" si="9"/>
        <v>292444</v>
      </c>
      <c r="K159" s="962">
        <f t="shared" si="10"/>
        <v>0</v>
      </c>
      <c r="L159" s="962">
        <f t="shared" si="11"/>
        <v>0</v>
      </c>
      <c r="M159" s="962">
        <f t="shared" si="12"/>
        <v>0</v>
      </c>
      <c r="N159" s="962">
        <f t="shared" si="13"/>
        <v>0</v>
      </c>
    </row>
    <row r="160" spans="1:14" ht="15.6">
      <c r="A160" s="956"/>
      <c r="B160" s="956"/>
      <c r="C160" s="956"/>
      <c r="D160" s="968"/>
      <c r="E160" s="969"/>
      <c r="F160" s="967">
        <f>SUM(F158:F159)</f>
        <v>563126</v>
      </c>
      <c r="G160" s="956"/>
      <c r="H160" s="961"/>
      <c r="I160" s="962"/>
      <c r="J160" s="962"/>
      <c r="K160" s="962"/>
      <c r="L160" s="962"/>
      <c r="M160" s="962"/>
      <c r="N160" s="962"/>
    </row>
    <row r="161" spans="1:14" ht="15.6">
      <c r="A161" s="956"/>
      <c r="B161" s="956"/>
      <c r="C161" s="956"/>
      <c r="D161" s="968"/>
      <c r="E161" s="969"/>
      <c r="F161" s="966"/>
      <c r="G161" s="956"/>
      <c r="H161" s="961"/>
      <c r="I161" s="962"/>
      <c r="J161" s="962"/>
      <c r="K161" s="962"/>
      <c r="L161" s="962"/>
      <c r="M161" s="962"/>
      <c r="N161" s="962"/>
    </row>
    <row r="162" spans="1:14" ht="15.6">
      <c r="A162" s="956">
        <v>10</v>
      </c>
      <c r="B162" s="957" t="s">
        <v>254</v>
      </c>
      <c r="C162" s="956"/>
      <c r="D162" s="958">
        <v>2834</v>
      </c>
      <c r="E162" s="959">
        <v>44965</v>
      </c>
      <c r="F162" s="966">
        <v>250915</v>
      </c>
      <c r="G162" s="956">
        <v>30</v>
      </c>
      <c r="H162" s="961">
        <f t="shared" si="7"/>
        <v>44995</v>
      </c>
      <c r="I162" s="962">
        <f t="shared" si="8"/>
        <v>22</v>
      </c>
      <c r="J162" s="962">
        <f t="shared" si="9"/>
        <v>250915</v>
      </c>
      <c r="K162" s="962">
        <f t="shared" si="10"/>
        <v>0</v>
      </c>
      <c r="L162" s="962">
        <f t="shared" si="11"/>
        <v>0</v>
      </c>
      <c r="M162" s="962">
        <f t="shared" si="12"/>
        <v>0</v>
      </c>
      <c r="N162" s="962">
        <f t="shared" si="13"/>
        <v>0</v>
      </c>
    </row>
    <row r="163" spans="1:14" ht="15.6">
      <c r="A163" s="956"/>
      <c r="B163" s="956"/>
      <c r="C163" s="956"/>
      <c r="D163" s="958">
        <v>2835</v>
      </c>
      <c r="E163" s="959">
        <v>44965</v>
      </c>
      <c r="F163" s="966">
        <v>224117</v>
      </c>
      <c r="G163" s="956">
        <v>30</v>
      </c>
      <c r="H163" s="961">
        <f>+E163+G163</f>
        <v>44995</v>
      </c>
      <c r="I163" s="962">
        <f>+$Q$1-H163+1</f>
        <v>22</v>
      </c>
      <c r="J163" s="962">
        <f>IF(I163&lt;=30,F163,0)</f>
        <v>224117</v>
      </c>
      <c r="K163" s="962">
        <f>IF(I163&lt;=30,0,IF(I163&gt;60,0,F163))</f>
        <v>0</v>
      </c>
      <c r="L163" s="962">
        <f>IF(I163&lt;=60,0,IF(I163&gt;90,0,F163))</f>
        <v>0</v>
      </c>
      <c r="M163" s="962">
        <f>IF(I163&lt;=90,0,IF(I163&gt;120,0,F163))</f>
        <v>0</v>
      </c>
      <c r="N163" s="962">
        <f>IF(I163&lt;=120,0,F163)</f>
        <v>0</v>
      </c>
    </row>
    <row r="164" spans="1:14" ht="15.6">
      <c r="A164" s="956"/>
      <c r="B164" s="956"/>
      <c r="C164" s="956"/>
      <c r="D164" s="958">
        <v>2838</v>
      </c>
      <c r="E164" s="959">
        <v>44965</v>
      </c>
      <c r="F164" s="966">
        <v>273910</v>
      </c>
      <c r="G164" s="956">
        <v>30</v>
      </c>
      <c r="H164" s="961">
        <f>+E164+G164</f>
        <v>44995</v>
      </c>
      <c r="I164" s="962">
        <f>+$Q$1-H164+1</f>
        <v>22</v>
      </c>
      <c r="J164" s="962">
        <f>IF(I164&lt;=30,F164,0)</f>
        <v>273910</v>
      </c>
      <c r="K164" s="962">
        <f>IF(I164&lt;=30,0,IF(I164&gt;60,0,F164))</f>
        <v>0</v>
      </c>
      <c r="L164" s="962">
        <f>IF(I164&lt;=60,0,IF(I164&gt;90,0,F164))</f>
        <v>0</v>
      </c>
      <c r="M164" s="962">
        <f>IF(I164&lt;=90,0,IF(I164&gt;120,0,F164))</f>
        <v>0</v>
      </c>
      <c r="N164" s="962">
        <f>IF(I164&lt;=120,0,F164)</f>
        <v>0</v>
      </c>
    </row>
    <row r="165" spans="1:14" ht="15.6">
      <c r="A165" s="956"/>
      <c r="B165" s="956"/>
      <c r="C165" s="956"/>
      <c r="D165" s="958">
        <v>2843</v>
      </c>
      <c r="E165" s="959">
        <v>44966</v>
      </c>
      <c r="F165" s="966">
        <v>127599</v>
      </c>
      <c r="G165" s="956">
        <v>30</v>
      </c>
      <c r="H165" s="961">
        <f>+E165+G165</f>
        <v>44996</v>
      </c>
      <c r="I165" s="962">
        <f>+$Q$1-H165+1</f>
        <v>21</v>
      </c>
      <c r="J165" s="962">
        <f>IF(I165&lt;=30,F165,0)</f>
        <v>127599</v>
      </c>
      <c r="K165" s="962">
        <f>IF(I165&lt;=30,0,IF(I165&gt;60,0,F165))</f>
        <v>0</v>
      </c>
      <c r="L165" s="962">
        <f>IF(I165&lt;=60,0,IF(I165&gt;90,0,F165))</f>
        <v>0</v>
      </c>
      <c r="M165" s="962">
        <f>IF(I165&lt;=90,0,IF(I165&gt;120,0,F165))</f>
        <v>0</v>
      </c>
      <c r="N165" s="962">
        <f>IF(I165&lt;=120,0,F165)</f>
        <v>0</v>
      </c>
    </row>
    <row r="166" spans="1:14" ht="15.6">
      <c r="A166" s="956"/>
      <c r="B166" s="956"/>
      <c r="C166" s="956"/>
      <c r="D166" s="958">
        <v>2847</v>
      </c>
      <c r="E166" s="959">
        <v>44966</v>
      </c>
      <c r="F166" s="966">
        <v>242473</v>
      </c>
      <c r="G166" s="956">
        <v>30</v>
      </c>
      <c r="H166" s="961">
        <f t="shared" ref="H166:H229" si="14">+E166+G166</f>
        <v>44996</v>
      </c>
      <c r="I166" s="962">
        <f t="shared" ref="I166:I229" si="15">+$Q$1-H166+1</f>
        <v>21</v>
      </c>
      <c r="J166" s="962">
        <f t="shared" ref="J166:J229" si="16">IF(I166&lt;=30,F166,0)</f>
        <v>242473</v>
      </c>
      <c r="K166" s="962">
        <f t="shared" ref="K166:K229" si="17">IF(I166&lt;=30,0,IF(I166&gt;60,0,F166))</f>
        <v>0</v>
      </c>
      <c r="L166" s="962">
        <f t="shared" ref="L166:L229" si="18">IF(I166&lt;=60,0,IF(I166&gt;90,0,F166))</f>
        <v>0</v>
      </c>
      <c r="M166" s="962">
        <f t="shared" ref="M166:M229" si="19">IF(I166&lt;=90,0,IF(I166&gt;120,0,F166))</f>
        <v>0</v>
      </c>
      <c r="N166" s="962">
        <f t="shared" ref="N166:N229" si="20">IF(I166&lt;=120,0,F166)</f>
        <v>0</v>
      </c>
    </row>
    <row r="167" spans="1:14" ht="15.6">
      <c r="A167" s="956"/>
      <c r="B167" s="956"/>
      <c r="C167" s="956"/>
      <c r="D167" s="958">
        <v>2849</v>
      </c>
      <c r="E167" s="959">
        <v>44966</v>
      </c>
      <c r="F167" s="966">
        <v>340713</v>
      </c>
      <c r="G167" s="956">
        <v>30</v>
      </c>
      <c r="H167" s="961">
        <f t="shared" si="14"/>
        <v>44996</v>
      </c>
      <c r="I167" s="962">
        <f t="shared" si="15"/>
        <v>21</v>
      </c>
      <c r="J167" s="962">
        <f t="shared" si="16"/>
        <v>340713</v>
      </c>
      <c r="K167" s="962">
        <f t="shared" si="17"/>
        <v>0</v>
      </c>
      <c r="L167" s="962">
        <f t="shared" si="18"/>
        <v>0</v>
      </c>
      <c r="M167" s="962">
        <f t="shared" si="19"/>
        <v>0</v>
      </c>
      <c r="N167" s="962">
        <f t="shared" si="20"/>
        <v>0</v>
      </c>
    </row>
    <row r="168" spans="1:14" ht="15.6">
      <c r="A168" s="956"/>
      <c r="B168" s="956"/>
      <c r="C168" s="956"/>
      <c r="D168" s="958">
        <v>2856</v>
      </c>
      <c r="E168" s="959">
        <v>44967</v>
      </c>
      <c r="F168" s="966">
        <v>257293</v>
      </c>
      <c r="G168" s="956">
        <v>30</v>
      </c>
      <c r="H168" s="961">
        <f t="shared" si="14"/>
        <v>44997</v>
      </c>
      <c r="I168" s="962">
        <f t="shared" si="15"/>
        <v>20</v>
      </c>
      <c r="J168" s="962">
        <f t="shared" si="16"/>
        <v>257293</v>
      </c>
      <c r="K168" s="962">
        <f t="shared" si="17"/>
        <v>0</v>
      </c>
      <c r="L168" s="962">
        <f t="shared" si="18"/>
        <v>0</v>
      </c>
      <c r="M168" s="962">
        <f t="shared" si="19"/>
        <v>0</v>
      </c>
      <c r="N168" s="962">
        <f t="shared" si="20"/>
        <v>0</v>
      </c>
    </row>
    <row r="169" spans="1:14" ht="15.6">
      <c r="A169" s="956"/>
      <c r="B169" s="956"/>
      <c r="C169" s="956"/>
      <c r="D169" s="958">
        <v>2861</v>
      </c>
      <c r="E169" s="959">
        <v>44967</v>
      </c>
      <c r="F169" s="966">
        <v>234588</v>
      </c>
      <c r="G169" s="956">
        <v>30</v>
      </c>
      <c r="H169" s="961">
        <f t="shared" si="14"/>
        <v>44997</v>
      </c>
      <c r="I169" s="962">
        <f t="shared" si="15"/>
        <v>20</v>
      </c>
      <c r="J169" s="962">
        <f t="shared" si="16"/>
        <v>234588</v>
      </c>
      <c r="K169" s="962">
        <f t="shared" si="17"/>
        <v>0</v>
      </c>
      <c r="L169" s="962">
        <f t="shared" si="18"/>
        <v>0</v>
      </c>
      <c r="M169" s="962">
        <f t="shared" si="19"/>
        <v>0</v>
      </c>
      <c r="N169" s="962">
        <f t="shared" si="20"/>
        <v>0</v>
      </c>
    </row>
    <row r="170" spans="1:14" ht="15.6">
      <c r="A170" s="956"/>
      <c r="B170" s="956"/>
      <c r="C170" s="956"/>
      <c r="D170" s="958">
        <v>2864</v>
      </c>
      <c r="E170" s="959">
        <v>44967</v>
      </c>
      <c r="F170" s="966">
        <v>227110</v>
      </c>
      <c r="G170" s="956">
        <v>30</v>
      </c>
      <c r="H170" s="961">
        <f t="shared" si="14"/>
        <v>44997</v>
      </c>
      <c r="I170" s="962">
        <f t="shared" si="15"/>
        <v>20</v>
      </c>
      <c r="J170" s="962">
        <f t="shared" si="16"/>
        <v>227110</v>
      </c>
      <c r="K170" s="962">
        <f t="shared" si="17"/>
        <v>0</v>
      </c>
      <c r="L170" s="962">
        <f t="shared" si="18"/>
        <v>0</v>
      </c>
      <c r="M170" s="962">
        <f t="shared" si="19"/>
        <v>0</v>
      </c>
      <c r="N170" s="962">
        <f t="shared" si="20"/>
        <v>0</v>
      </c>
    </row>
    <row r="171" spans="1:14" ht="15.6">
      <c r="A171" s="956"/>
      <c r="B171" s="956"/>
      <c r="C171" s="956"/>
      <c r="D171" s="958">
        <v>2867</v>
      </c>
      <c r="E171" s="959">
        <v>44968</v>
      </c>
      <c r="F171" s="966">
        <v>251708</v>
      </c>
      <c r="G171" s="956">
        <v>30</v>
      </c>
      <c r="H171" s="961">
        <f t="shared" si="14"/>
        <v>44998</v>
      </c>
      <c r="I171" s="962">
        <f t="shared" si="15"/>
        <v>19</v>
      </c>
      <c r="J171" s="962">
        <f t="shared" si="16"/>
        <v>251708</v>
      </c>
      <c r="K171" s="962">
        <f t="shared" si="17"/>
        <v>0</v>
      </c>
      <c r="L171" s="962">
        <f t="shared" si="18"/>
        <v>0</v>
      </c>
      <c r="M171" s="962">
        <f t="shared" si="19"/>
        <v>0</v>
      </c>
      <c r="N171" s="962">
        <f t="shared" si="20"/>
        <v>0</v>
      </c>
    </row>
    <row r="172" spans="1:14" ht="15.6">
      <c r="A172" s="956"/>
      <c r="B172" s="956"/>
      <c r="C172" s="956"/>
      <c r="D172" s="958">
        <v>2875</v>
      </c>
      <c r="E172" s="959">
        <v>44969</v>
      </c>
      <c r="F172" s="966">
        <v>239987</v>
      </c>
      <c r="G172" s="956">
        <v>30</v>
      </c>
      <c r="H172" s="961">
        <f t="shared" si="14"/>
        <v>44999</v>
      </c>
      <c r="I172" s="962">
        <f t="shared" si="15"/>
        <v>18</v>
      </c>
      <c r="J172" s="962">
        <f t="shared" si="16"/>
        <v>239987</v>
      </c>
      <c r="K172" s="962">
        <f t="shared" si="17"/>
        <v>0</v>
      </c>
      <c r="L172" s="962">
        <f t="shared" si="18"/>
        <v>0</v>
      </c>
      <c r="M172" s="962">
        <f t="shared" si="19"/>
        <v>0</v>
      </c>
      <c r="N172" s="962">
        <f t="shared" si="20"/>
        <v>0</v>
      </c>
    </row>
    <row r="173" spans="1:14" ht="15.6">
      <c r="A173" s="956"/>
      <c r="B173" s="956"/>
      <c r="C173" s="956"/>
      <c r="D173" s="958">
        <v>2876</v>
      </c>
      <c r="E173" s="959">
        <v>44969</v>
      </c>
      <c r="F173" s="966">
        <v>323256</v>
      </c>
      <c r="G173" s="956">
        <v>30</v>
      </c>
      <c r="H173" s="961">
        <f t="shared" si="14"/>
        <v>44999</v>
      </c>
      <c r="I173" s="962">
        <f t="shared" si="15"/>
        <v>18</v>
      </c>
      <c r="J173" s="962">
        <f t="shared" si="16"/>
        <v>323256</v>
      </c>
      <c r="K173" s="962">
        <f t="shared" si="17"/>
        <v>0</v>
      </c>
      <c r="L173" s="962">
        <f t="shared" si="18"/>
        <v>0</v>
      </c>
      <c r="M173" s="962">
        <f t="shared" si="19"/>
        <v>0</v>
      </c>
      <c r="N173" s="962">
        <f t="shared" si="20"/>
        <v>0</v>
      </c>
    </row>
    <row r="174" spans="1:14" ht="15.6">
      <c r="A174" s="956"/>
      <c r="B174" s="956"/>
      <c r="C174" s="956"/>
      <c r="D174" s="958">
        <v>2882</v>
      </c>
      <c r="E174" s="959">
        <v>44970</v>
      </c>
      <c r="F174" s="966">
        <v>497732</v>
      </c>
      <c r="G174" s="956">
        <v>30</v>
      </c>
      <c r="H174" s="961">
        <f t="shared" si="14"/>
        <v>45000</v>
      </c>
      <c r="I174" s="962">
        <f t="shared" si="15"/>
        <v>17</v>
      </c>
      <c r="J174" s="962">
        <f t="shared" si="16"/>
        <v>497732</v>
      </c>
      <c r="K174" s="962">
        <f t="shared" si="17"/>
        <v>0</v>
      </c>
      <c r="L174" s="962">
        <f t="shared" si="18"/>
        <v>0</v>
      </c>
      <c r="M174" s="962">
        <f t="shared" si="19"/>
        <v>0</v>
      </c>
      <c r="N174" s="962">
        <f t="shared" si="20"/>
        <v>0</v>
      </c>
    </row>
    <row r="175" spans="1:14" ht="15.6">
      <c r="A175" s="956"/>
      <c r="B175" s="956"/>
      <c r="C175" s="956"/>
      <c r="D175" s="958">
        <v>2892</v>
      </c>
      <c r="E175" s="959">
        <v>44971</v>
      </c>
      <c r="F175" s="966">
        <v>233121</v>
      </c>
      <c r="G175" s="956">
        <v>30</v>
      </c>
      <c r="H175" s="961">
        <f t="shared" si="14"/>
        <v>45001</v>
      </c>
      <c r="I175" s="962">
        <f t="shared" si="15"/>
        <v>16</v>
      </c>
      <c r="J175" s="962">
        <f t="shared" si="16"/>
        <v>233121</v>
      </c>
      <c r="K175" s="962">
        <f t="shared" si="17"/>
        <v>0</v>
      </c>
      <c r="L175" s="962">
        <f t="shared" si="18"/>
        <v>0</v>
      </c>
      <c r="M175" s="962">
        <f t="shared" si="19"/>
        <v>0</v>
      </c>
      <c r="N175" s="962">
        <f t="shared" si="20"/>
        <v>0</v>
      </c>
    </row>
    <row r="176" spans="1:14" ht="15.6">
      <c r="A176" s="956"/>
      <c r="B176" s="956"/>
      <c r="C176" s="956"/>
      <c r="D176" s="958">
        <v>2902</v>
      </c>
      <c r="E176" s="959">
        <v>44972</v>
      </c>
      <c r="F176" s="966">
        <v>233499</v>
      </c>
      <c r="G176" s="956">
        <v>30</v>
      </c>
      <c r="H176" s="961">
        <f t="shared" si="14"/>
        <v>45002</v>
      </c>
      <c r="I176" s="962">
        <f t="shared" si="15"/>
        <v>15</v>
      </c>
      <c r="J176" s="962">
        <f t="shared" si="16"/>
        <v>233499</v>
      </c>
      <c r="K176" s="962">
        <f t="shared" si="17"/>
        <v>0</v>
      </c>
      <c r="L176" s="962">
        <f t="shared" si="18"/>
        <v>0</v>
      </c>
      <c r="M176" s="962">
        <f t="shared" si="19"/>
        <v>0</v>
      </c>
      <c r="N176" s="962">
        <f t="shared" si="20"/>
        <v>0</v>
      </c>
    </row>
    <row r="177" spans="1:14" ht="15.6">
      <c r="A177" s="956"/>
      <c r="B177" s="956"/>
      <c r="C177" s="956"/>
      <c r="D177" s="958">
        <v>2912</v>
      </c>
      <c r="E177" s="959">
        <v>44973</v>
      </c>
      <c r="F177" s="966">
        <v>307121</v>
      </c>
      <c r="G177" s="956">
        <v>30</v>
      </c>
      <c r="H177" s="961">
        <f t="shared" si="14"/>
        <v>45003</v>
      </c>
      <c r="I177" s="962">
        <f t="shared" si="15"/>
        <v>14</v>
      </c>
      <c r="J177" s="962">
        <f t="shared" si="16"/>
        <v>307121</v>
      </c>
      <c r="K177" s="962">
        <f t="shared" si="17"/>
        <v>0</v>
      </c>
      <c r="L177" s="962">
        <f t="shared" si="18"/>
        <v>0</v>
      </c>
      <c r="M177" s="962">
        <f t="shared" si="19"/>
        <v>0</v>
      </c>
      <c r="N177" s="962">
        <f t="shared" si="20"/>
        <v>0</v>
      </c>
    </row>
    <row r="178" spans="1:14" ht="15.6">
      <c r="A178" s="956"/>
      <c r="B178" s="956"/>
      <c r="C178" s="956"/>
      <c r="D178" s="958">
        <v>2913</v>
      </c>
      <c r="E178" s="959">
        <v>44973</v>
      </c>
      <c r="F178" s="966">
        <v>410833</v>
      </c>
      <c r="G178" s="956">
        <v>30</v>
      </c>
      <c r="H178" s="961">
        <f t="shared" si="14"/>
        <v>45003</v>
      </c>
      <c r="I178" s="962">
        <f t="shared" si="15"/>
        <v>14</v>
      </c>
      <c r="J178" s="962">
        <f t="shared" si="16"/>
        <v>410833</v>
      </c>
      <c r="K178" s="962">
        <f t="shared" si="17"/>
        <v>0</v>
      </c>
      <c r="L178" s="962">
        <f t="shared" si="18"/>
        <v>0</v>
      </c>
      <c r="M178" s="962">
        <f t="shared" si="19"/>
        <v>0</v>
      </c>
      <c r="N178" s="962">
        <f t="shared" si="20"/>
        <v>0</v>
      </c>
    </row>
    <row r="179" spans="1:14" ht="15.6">
      <c r="A179" s="956"/>
      <c r="B179" s="956"/>
      <c r="C179" s="956"/>
      <c r="D179" s="958">
        <v>2922</v>
      </c>
      <c r="E179" s="959">
        <v>44974</v>
      </c>
      <c r="F179" s="966">
        <v>235256</v>
      </c>
      <c r="G179" s="956">
        <v>30</v>
      </c>
      <c r="H179" s="961">
        <f t="shared" si="14"/>
        <v>45004</v>
      </c>
      <c r="I179" s="962">
        <f t="shared" si="15"/>
        <v>13</v>
      </c>
      <c r="J179" s="962">
        <f t="shared" si="16"/>
        <v>235256</v>
      </c>
      <c r="K179" s="962">
        <f t="shared" si="17"/>
        <v>0</v>
      </c>
      <c r="L179" s="962">
        <f t="shared" si="18"/>
        <v>0</v>
      </c>
      <c r="M179" s="962">
        <f t="shared" si="19"/>
        <v>0</v>
      </c>
      <c r="N179" s="962">
        <f t="shared" si="20"/>
        <v>0</v>
      </c>
    </row>
    <row r="180" spans="1:14" ht="15.6">
      <c r="A180" s="956"/>
      <c r="B180" s="956"/>
      <c r="C180" s="956"/>
      <c r="D180" s="958">
        <v>2924</v>
      </c>
      <c r="E180" s="959">
        <v>44974</v>
      </c>
      <c r="F180" s="966">
        <v>282100</v>
      </c>
      <c r="G180" s="956">
        <v>30</v>
      </c>
      <c r="H180" s="961">
        <f t="shared" si="14"/>
        <v>45004</v>
      </c>
      <c r="I180" s="962">
        <f t="shared" si="15"/>
        <v>13</v>
      </c>
      <c r="J180" s="962">
        <f t="shared" si="16"/>
        <v>282100</v>
      </c>
      <c r="K180" s="962">
        <f t="shared" si="17"/>
        <v>0</v>
      </c>
      <c r="L180" s="962">
        <f t="shared" si="18"/>
        <v>0</v>
      </c>
      <c r="M180" s="962">
        <f t="shared" si="19"/>
        <v>0</v>
      </c>
      <c r="N180" s="962">
        <f t="shared" si="20"/>
        <v>0</v>
      </c>
    </row>
    <row r="181" spans="1:14" ht="15.6">
      <c r="A181" s="956"/>
      <c r="B181" s="956"/>
      <c r="C181" s="956"/>
      <c r="D181" s="958">
        <v>2933</v>
      </c>
      <c r="E181" s="959">
        <v>44975</v>
      </c>
      <c r="F181" s="966">
        <v>271274</v>
      </c>
      <c r="G181" s="956">
        <v>30</v>
      </c>
      <c r="H181" s="961">
        <f t="shared" si="14"/>
        <v>45005</v>
      </c>
      <c r="I181" s="962">
        <f t="shared" si="15"/>
        <v>12</v>
      </c>
      <c r="J181" s="962">
        <f t="shared" si="16"/>
        <v>271274</v>
      </c>
      <c r="K181" s="962">
        <f t="shared" si="17"/>
        <v>0</v>
      </c>
      <c r="L181" s="962">
        <f t="shared" si="18"/>
        <v>0</v>
      </c>
      <c r="M181" s="962">
        <f t="shared" si="19"/>
        <v>0</v>
      </c>
      <c r="N181" s="962">
        <f t="shared" si="20"/>
        <v>0</v>
      </c>
    </row>
    <row r="182" spans="1:14" ht="15.6">
      <c r="A182" s="956"/>
      <c r="B182" s="956"/>
      <c r="C182" s="956"/>
      <c r="D182" s="958">
        <v>2934</v>
      </c>
      <c r="E182" s="959">
        <v>44975</v>
      </c>
      <c r="F182" s="966">
        <v>297359</v>
      </c>
      <c r="G182" s="956">
        <v>30</v>
      </c>
      <c r="H182" s="961">
        <f t="shared" si="14"/>
        <v>45005</v>
      </c>
      <c r="I182" s="962">
        <f t="shared" si="15"/>
        <v>12</v>
      </c>
      <c r="J182" s="962">
        <f t="shared" si="16"/>
        <v>297359</v>
      </c>
      <c r="K182" s="962">
        <f t="shared" si="17"/>
        <v>0</v>
      </c>
      <c r="L182" s="962">
        <f t="shared" si="18"/>
        <v>0</v>
      </c>
      <c r="M182" s="962">
        <f t="shared" si="19"/>
        <v>0</v>
      </c>
      <c r="N182" s="962">
        <f t="shared" si="20"/>
        <v>0</v>
      </c>
    </row>
    <row r="183" spans="1:14" ht="15.6">
      <c r="A183" s="956"/>
      <c r="B183" s="956"/>
      <c r="C183" s="956"/>
      <c r="D183" s="958">
        <v>2938</v>
      </c>
      <c r="E183" s="959">
        <v>44975</v>
      </c>
      <c r="F183" s="966">
        <v>253985</v>
      </c>
      <c r="G183" s="956">
        <v>30</v>
      </c>
      <c r="H183" s="961">
        <f t="shared" si="14"/>
        <v>45005</v>
      </c>
      <c r="I183" s="962">
        <f t="shared" si="15"/>
        <v>12</v>
      </c>
      <c r="J183" s="962">
        <f t="shared" si="16"/>
        <v>253985</v>
      </c>
      <c r="K183" s="962">
        <f t="shared" si="17"/>
        <v>0</v>
      </c>
      <c r="L183" s="962">
        <f t="shared" si="18"/>
        <v>0</v>
      </c>
      <c r="M183" s="962">
        <f t="shared" si="19"/>
        <v>0</v>
      </c>
      <c r="N183" s="962">
        <f t="shared" si="20"/>
        <v>0</v>
      </c>
    </row>
    <row r="184" spans="1:14" ht="15.6">
      <c r="A184" s="956"/>
      <c r="B184" s="956"/>
      <c r="C184" s="956"/>
      <c r="D184" s="958">
        <v>2940</v>
      </c>
      <c r="E184" s="959">
        <v>44975</v>
      </c>
      <c r="F184" s="966">
        <v>182878</v>
      </c>
      <c r="G184" s="956">
        <v>30</v>
      </c>
      <c r="H184" s="961">
        <f t="shared" si="14"/>
        <v>45005</v>
      </c>
      <c r="I184" s="962">
        <f t="shared" si="15"/>
        <v>12</v>
      </c>
      <c r="J184" s="962">
        <f t="shared" si="16"/>
        <v>182878</v>
      </c>
      <c r="K184" s="962">
        <f t="shared" si="17"/>
        <v>0</v>
      </c>
      <c r="L184" s="962">
        <f t="shared" si="18"/>
        <v>0</v>
      </c>
      <c r="M184" s="962">
        <f t="shared" si="19"/>
        <v>0</v>
      </c>
      <c r="N184" s="962">
        <f t="shared" si="20"/>
        <v>0</v>
      </c>
    </row>
    <row r="185" spans="1:14" ht="15.6">
      <c r="A185" s="956"/>
      <c r="B185" s="956"/>
      <c r="C185" s="956"/>
      <c r="D185" s="958">
        <v>2945</v>
      </c>
      <c r="E185" s="959">
        <v>44976</v>
      </c>
      <c r="F185" s="966">
        <v>230659</v>
      </c>
      <c r="G185" s="956">
        <v>30</v>
      </c>
      <c r="H185" s="961">
        <f t="shared" si="14"/>
        <v>45006</v>
      </c>
      <c r="I185" s="962">
        <f t="shared" si="15"/>
        <v>11</v>
      </c>
      <c r="J185" s="962">
        <f t="shared" si="16"/>
        <v>230659</v>
      </c>
      <c r="K185" s="962">
        <f t="shared" si="17"/>
        <v>0</v>
      </c>
      <c r="L185" s="962">
        <f t="shared" si="18"/>
        <v>0</v>
      </c>
      <c r="M185" s="962">
        <f t="shared" si="19"/>
        <v>0</v>
      </c>
      <c r="N185" s="962">
        <f t="shared" si="20"/>
        <v>0</v>
      </c>
    </row>
    <row r="186" spans="1:14" ht="15.6">
      <c r="A186" s="956"/>
      <c r="B186" s="956"/>
      <c r="C186" s="956"/>
      <c r="D186" s="958">
        <v>2947</v>
      </c>
      <c r="E186" s="959">
        <v>44976</v>
      </c>
      <c r="F186" s="966">
        <v>234856</v>
      </c>
      <c r="G186" s="956">
        <v>30</v>
      </c>
      <c r="H186" s="961">
        <f t="shared" si="14"/>
        <v>45006</v>
      </c>
      <c r="I186" s="962">
        <f t="shared" si="15"/>
        <v>11</v>
      </c>
      <c r="J186" s="962">
        <f t="shared" si="16"/>
        <v>234856</v>
      </c>
      <c r="K186" s="962">
        <f t="shared" si="17"/>
        <v>0</v>
      </c>
      <c r="L186" s="962">
        <f t="shared" si="18"/>
        <v>0</v>
      </c>
      <c r="M186" s="962">
        <f t="shared" si="19"/>
        <v>0</v>
      </c>
      <c r="N186" s="962">
        <f t="shared" si="20"/>
        <v>0</v>
      </c>
    </row>
    <row r="187" spans="1:14" ht="15.6">
      <c r="A187" s="956"/>
      <c r="B187" s="956"/>
      <c r="C187" s="956"/>
      <c r="D187" s="958">
        <v>2948</v>
      </c>
      <c r="E187" s="959">
        <v>44976</v>
      </c>
      <c r="F187" s="966">
        <v>194613</v>
      </c>
      <c r="G187" s="956">
        <v>30</v>
      </c>
      <c r="H187" s="961">
        <f t="shared" si="14"/>
        <v>45006</v>
      </c>
      <c r="I187" s="962">
        <f t="shared" si="15"/>
        <v>11</v>
      </c>
      <c r="J187" s="962">
        <f t="shared" si="16"/>
        <v>194613</v>
      </c>
      <c r="K187" s="962">
        <f t="shared" si="17"/>
        <v>0</v>
      </c>
      <c r="L187" s="962">
        <f t="shared" si="18"/>
        <v>0</v>
      </c>
      <c r="M187" s="962">
        <f t="shared" si="19"/>
        <v>0</v>
      </c>
      <c r="N187" s="962">
        <f t="shared" si="20"/>
        <v>0</v>
      </c>
    </row>
    <row r="188" spans="1:14" ht="15.6">
      <c r="A188" s="956"/>
      <c r="B188" s="956"/>
      <c r="C188" s="956"/>
      <c r="D188" s="958">
        <v>2951</v>
      </c>
      <c r="E188" s="959">
        <v>44977</v>
      </c>
      <c r="F188" s="966">
        <v>202426</v>
      </c>
      <c r="G188" s="956">
        <v>30</v>
      </c>
      <c r="H188" s="961">
        <f t="shared" si="14"/>
        <v>45007</v>
      </c>
      <c r="I188" s="962">
        <f t="shared" si="15"/>
        <v>10</v>
      </c>
      <c r="J188" s="962">
        <f t="shared" si="16"/>
        <v>202426</v>
      </c>
      <c r="K188" s="962">
        <f t="shared" si="17"/>
        <v>0</v>
      </c>
      <c r="L188" s="962">
        <f t="shared" si="18"/>
        <v>0</v>
      </c>
      <c r="M188" s="962">
        <f t="shared" si="19"/>
        <v>0</v>
      </c>
      <c r="N188" s="962">
        <f t="shared" si="20"/>
        <v>0</v>
      </c>
    </row>
    <row r="189" spans="1:14" ht="15.6">
      <c r="A189" s="956"/>
      <c r="B189" s="956"/>
      <c r="C189" s="956"/>
      <c r="D189" s="958">
        <v>2953</v>
      </c>
      <c r="E189" s="959">
        <v>44977</v>
      </c>
      <c r="F189" s="966">
        <v>200525</v>
      </c>
      <c r="G189" s="956">
        <v>30</v>
      </c>
      <c r="H189" s="961">
        <f t="shared" si="14"/>
        <v>45007</v>
      </c>
      <c r="I189" s="962">
        <f t="shared" si="15"/>
        <v>10</v>
      </c>
      <c r="J189" s="962">
        <f t="shared" si="16"/>
        <v>200525</v>
      </c>
      <c r="K189" s="962">
        <f t="shared" si="17"/>
        <v>0</v>
      </c>
      <c r="L189" s="962">
        <f t="shared" si="18"/>
        <v>0</v>
      </c>
      <c r="M189" s="962">
        <f t="shared" si="19"/>
        <v>0</v>
      </c>
      <c r="N189" s="962">
        <f t="shared" si="20"/>
        <v>0</v>
      </c>
    </row>
    <row r="190" spans="1:14" ht="15.6">
      <c r="A190" s="956"/>
      <c r="B190" s="956"/>
      <c r="C190" s="956"/>
      <c r="D190" s="958">
        <v>2958</v>
      </c>
      <c r="E190" s="959">
        <v>44977</v>
      </c>
      <c r="F190" s="966">
        <v>523432</v>
      </c>
      <c r="G190" s="956">
        <v>30</v>
      </c>
      <c r="H190" s="961">
        <f t="shared" si="14"/>
        <v>45007</v>
      </c>
      <c r="I190" s="962">
        <f t="shared" si="15"/>
        <v>10</v>
      </c>
      <c r="J190" s="962">
        <f t="shared" si="16"/>
        <v>523432</v>
      </c>
      <c r="K190" s="962">
        <f t="shared" si="17"/>
        <v>0</v>
      </c>
      <c r="L190" s="962">
        <f t="shared" si="18"/>
        <v>0</v>
      </c>
      <c r="M190" s="962">
        <f t="shared" si="19"/>
        <v>0</v>
      </c>
      <c r="N190" s="962">
        <f t="shared" si="20"/>
        <v>0</v>
      </c>
    </row>
    <row r="191" spans="1:14" ht="15.6">
      <c r="A191" s="956"/>
      <c r="B191" s="956"/>
      <c r="C191" s="956"/>
      <c r="D191" s="958">
        <v>2962</v>
      </c>
      <c r="E191" s="959">
        <v>44978</v>
      </c>
      <c r="F191" s="966">
        <v>603196</v>
      </c>
      <c r="G191" s="956">
        <v>30</v>
      </c>
      <c r="H191" s="961">
        <f t="shared" si="14"/>
        <v>45008</v>
      </c>
      <c r="I191" s="962">
        <f t="shared" si="15"/>
        <v>9</v>
      </c>
      <c r="J191" s="962">
        <f t="shared" si="16"/>
        <v>603196</v>
      </c>
      <c r="K191" s="962">
        <f t="shared" si="17"/>
        <v>0</v>
      </c>
      <c r="L191" s="962">
        <f t="shared" si="18"/>
        <v>0</v>
      </c>
      <c r="M191" s="962">
        <f t="shared" si="19"/>
        <v>0</v>
      </c>
      <c r="N191" s="962">
        <f t="shared" si="20"/>
        <v>0</v>
      </c>
    </row>
    <row r="192" spans="1:14" ht="15.6">
      <c r="A192" s="956"/>
      <c r="B192" s="956"/>
      <c r="C192" s="956"/>
      <c r="D192" s="958">
        <v>2963</v>
      </c>
      <c r="E192" s="959">
        <v>44978</v>
      </c>
      <c r="F192" s="966">
        <v>338345</v>
      </c>
      <c r="G192" s="956">
        <v>30</v>
      </c>
      <c r="H192" s="961">
        <f t="shared" si="14"/>
        <v>45008</v>
      </c>
      <c r="I192" s="962">
        <f t="shared" si="15"/>
        <v>9</v>
      </c>
      <c r="J192" s="962">
        <f t="shared" si="16"/>
        <v>338345</v>
      </c>
      <c r="K192" s="962">
        <f t="shared" si="17"/>
        <v>0</v>
      </c>
      <c r="L192" s="962">
        <f t="shared" si="18"/>
        <v>0</v>
      </c>
      <c r="M192" s="962">
        <f t="shared" si="19"/>
        <v>0</v>
      </c>
      <c r="N192" s="962">
        <f t="shared" si="20"/>
        <v>0</v>
      </c>
    </row>
    <row r="193" spans="1:14" ht="15.6">
      <c r="A193" s="956"/>
      <c r="B193" s="956"/>
      <c r="C193" s="956"/>
      <c r="D193" s="958">
        <v>2970</v>
      </c>
      <c r="E193" s="959">
        <v>44978</v>
      </c>
      <c r="F193" s="966">
        <v>413606</v>
      </c>
      <c r="G193" s="956">
        <v>30</v>
      </c>
      <c r="H193" s="961">
        <f t="shared" si="14"/>
        <v>45008</v>
      </c>
      <c r="I193" s="962">
        <f t="shared" si="15"/>
        <v>9</v>
      </c>
      <c r="J193" s="962">
        <f t="shared" si="16"/>
        <v>413606</v>
      </c>
      <c r="K193" s="962">
        <f t="shared" si="17"/>
        <v>0</v>
      </c>
      <c r="L193" s="962">
        <f t="shared" si="18"/>
        <v>0</v>
      </c>
      <c r="M193" s="962">
        <f t="shared" si="19"/>
        <v>0</v>
      </c>
      <c r="N193" s="962">
        <f t="shared" si="20"/>
        <v>0</v>
      </c>
    </row>
    <row r="194" spans="1:14" ht="15.6">
      <c r="A194" s="956"/>
      <c r="B194" s="956"/>
      <c r="C194" s="956"/>
      <c r="D194" s="958">
        <v>2972</v>
      </c>
      <c r="E194" s="959">
        <v>44979</v>
      </c>
      <c r="F194" s="966">
        <v>279355</v>
      </c>
      <c r="G194" s="956">
        <v>30</v>
      </c>
      <c r="H194" s="961">
        <f t="shared" si="14"/>
        <v>45009</v>
      </c>
      <c r="I194" s="962">
        <f t="shared" si="15"/>
        <v>8</v>
      </c>
      <c r="J194" s="962">
        <f t="shared" si="16"/>
        <v>279355</v>
      </c>
      <c r="K194" s="962">
        <f t="shared" si="17"/>
        <v>0</v>
      </c>
      <c r="L194" s="962">
        <f t="shared" si="18"/>
        <v>0</v>
      </c>
      <c r="M194" s="962">
        <f t="shared" si="19"/>
        <v>0</v>
      </c>
      <c r="N194" s="962">
        <f t="shared" si="20"/>
        <v>0</v>
      </c>
    </row>
    <row r="195" spans="1:14" ht="15.6">
      <c r="A195" s="956"/>
      <c r="B195" s="956"/>
      <c r="C195" s="956"/>
      <c r="D195" s="958">
        <v>2974</v>
      </c>
      <c r="E195" s="959">
        <v>44979</v>
      </c>
      <c r="F195" s="966">
        <v>254245</v>
      </c>
      <c r="G195" s="956">
        <v>30</v>
      </c>
      <c r="H195" s="961">
        <f t="shared" si="14"/>
        <v>45009</v>
      </c>
      <c r="I195" s="962">
        <f t="shared" si="15"/>
        <v>8</v>
      </c>
      <c r="J195" s="962">
        <f t="shared" si="16"/>
        <v>254245</v>
      </c>
      <c r="K195" s="962">
        <f t="shared" si="17"/>
        <v>0</v>
      </c>
      <c r="L195" s="962">
        <f t="shared" si="18"/>
        <v>0</v>
      </c>
      <c r="M195" s="962">
        <f t="shared" si="19"/>
        <v>0</v>
      </c>
      <c r="N195" s="962">
        <f t="shared" si="20"/>
        <v>0</v>
      </c>
    </row>
    <row r="196" spans="1:14" ht="15.6">
      <c r="A196" s="956"/>
      <c r="B196" s="956"/>
      <c r="C196" s="956"/>
      <c r="D196" s="958">
        <v>2978</v>
      </c>
      <c r="E196" s="959">
        <v>44979</v>
      </c>
      <c r="F196" s="966">
        <v>168198</v>
      </c>
      <c r="G196" s="956">
        <v>30</v>
      </c>
      <c r="H196" s="961">
        <f t="shared" si="14"/>
        <v>45009</v>
      </c>
      <c r="I196" s="962">
        <f t="shared" si="15"/>
        <v>8</v>
      </c>
      <c r="J196" s="962">
        <f t="shared" si="16"/>
        <v>168198</v>
      </c>
      <c r="K196" s="962">
        <f t="shared" si="17"/>
        <v>0</v>
      </c>
      <c r="L196" s="962">
        <f t="shared" si="18"/>
        <v>0</v>
      </c>
      <c r="M196" s="962">
        <f t="shared" si="19"/>
        <v>0</v>
      </c>
      <c r="N196" s="962">
        <f t="shared" si="20"/>
        <v>0</v>
      </c>
    </row>
    <row r="197" spans="1:14" ht="15.6">
      <c r="A197" s="956"/>
      <c r="B197" s="956"/>
      <c r="C197" s="956"/>
      <c r="D197" s="958">
        <v>2979</v>
      </c>
      <c r="E197" s="959">
        <v>44979</v>
      </c>
      <c r="F197" s="966">
        <v>213697</v>
      </c>
      <c r="G197" s="956">
        <v>30</v>
      </c>
      <c r="H197" s="961">
        <f t="shared" si="14"/>
        <v>45009</v>
      </c>
      <c r="I197" s="962">
        <f t="shared" si="15"/>
        <v>8</v>
      </c>
      <c r="J197" s="962">
        <f t="shared" si="16"/>
        <v>213697</v>
      </c>
      <c r="K197" s="962">
        <f t="shared" si="17"/>
        <v>0</v>
      </c>
      <c r="L197" s="962">
        <f t="shared" si="18"/>
        <v>0</v>
      </c>
      <c r="M197" s="962">
        <f t="shared" si="19"/>
        <v>0</v>
      </c>
      <c r="N197" s="962">
        <f t="shared" si="20"/>
        <v>0</v>
      </c>
    </row>
    <row r="198" spans="1:14" ht="15.6">
      <c r="A198" s="956"/>
      <c r="B198" s="956"/>
      <c r="C198" s="956"/>
      <c r="D198" s="958">
        <v>2980</v>
      </c>
      <c r="E198" s="959">
        <v>44979</v>
      </c>
      <c r="F198" s="966">
        <v>240395</v>
      </c>
      <c r="G198" s="956">
        <v>30</v>
      </c>
      <c r="H198" s="961">
        <f t="shared" si="14"/>
        <v>45009</v>
      </c>
      <c r="I198" s="962">
        <f t="shared" si="15"/>
        <v>8</v>
      </c>
      <c r="J198" s="962">
        <f t="shared" si="16"/>
        <v>240395</v>
      </c>
      <c r="K198" s="962">
        <f t="shared" si="17"/>
        <v>0</v>
      </c>
      <c r="L198" s="962">
        <f t="shared" si="18"/>
        <v>0</v>
      </c>
      <c r="M198" s="962">
        <f t="shared" si="19"/>
        <v>0</v>
      </c>
      <c r="N198" s="962">
        <f t="shared" si="20"/>
        <v>0</v>
      </c>
    </row>
    <row r="199" spans="1:14" ht="15.6">
      <c r="A199" s="956"/>
      <c r="B199" s="956"/>
      <c r="C199" s="956"/>
      <c r="D199" s="958">
        <v>2986</v>
      </c>
      <c r="E199" s="959">
        <v>44980</v>
      </c>
      <c r="F199" s="966">
        <v>78851</v>
      </c>
      <c r="G199" s="956">
        <v>30</v>
      </c>
      <c r="H199" s="961">
        <f t="shared" si="14"/>
        <v>45010</v>
      </c>
      <c r="I199" s="962">
        <f t="shared" si="15"/>
        <v>7</v>
      </c>
      <c r="J199" s="962">
        <f t="shared" si="16"/>
        <v>78851</v>
      </c>
      <c r="K199" s="962">
        <f t="shared" si="17"/>
        <v>0</v>
      </c>
      <c r="L199" s="962">
        <f t="shared" si="18"/>
        <v>0</v>
      </c>
      <c r="M199" s="962">
        <f t="shared" si="19"/>
        <v>0</v>
      </c>
      <c r="N199" s="962">
        <f t="shared" si="20"/>
        <v>0</v>
      </c>
    </row>
    <row r="200" spans="1:14" ht="15.6">
      <c r="A200" s="956"/>
      <c r="B200" s="956"/>
      <c r="C200" s="956"/>
      <c r="D200" s="958">
        <v>2991</v>
      </c>
      <c r="E200" s="959">
        <v>44980</v>
      </c>
      <c r="F200" s="966">
        <v>47915</v>
      </c>
      <c r="G200" s="956">
        <v>30</v>
      </c>
      <c r="H200" s="961">
        <f t="shared" si="14"/>
        <v>45010</v>
      </c>
      <c r="I200" s="962">
        <f t="shared" si="15"/>
        <v>7</v>
      </c>
      <c r="J200" s="962">
        <f t="shared" si="16"/>
        <v>47915</v>
      </c>
      <c r="K200" s="962">
        <f t="shared" si="17"/>
        <v>0</v>
      </c>
      <c r="L200" s="962">
        <f t="shared" si="18"/>
        <v>0</v>
      </c>
      <c r="M200" s="962">
        <f t="shared" si="19"/>
        <v>0</v>
      </c>
      <c r="N200" s="962">
        <f t="shared" si="20"/>
        <v>0</v>
      </c>
    </row>
    <row r="201" spans="1:14" ht="15.6">
      <c r="A201" s="956"/>
      <c r="B201" s="956"/>
      <c r="C201" s="956"/>
      <c r="D201" s="958">
        <v>3002</v>
      </c>
      <c r="E201" s="959">
        <v>44981</v>
      </c>
      <c r="F201" s="966">
        <v>49877</v>
      </c>
      <c r="G201" s="956">
        <v>30</v>
      </c>
      <c r="H201" s="961">
        <f t="shared" si="14"/>
        <v>45011</v>
      </c>
      <c r="I201" s="962">
        <f t="shared" si="15"/>
        <v>6</v>
      </c>
      <c r="J201" s="962">
        <f t="shared" si="16"/>
        <v>49877</v>
      </c>
      <c r="K201" s="962">
        <f t="shared" si="17"/>
        <v>0</v>
      </c>
      <c r="L201" s="962">
        <f t="shared" si="18"/>
        <v>0</v>
      </c>
      <c r="M201" s="962">
        <f t="shared" si="19"/>
        <v>0</v>
      </c>
      <c r="N201" s="962">
        <f t="shared" si="20"/>
        <v>0</v>
      </c>
    </row>
    <row r="202" spans="1:14" ht="15.6">
      <c r="A202" s="956"/>
      <c r="B202" s="956"/>
      <c r="C202" s="956"/>
      <c r="D202" s="958">
        <v>3013</v>
      </c>
      <c r="E202" s="959">
        <v>44983</v>
      </c>
      <c r="F202" s="966">
        <v>100638</v>
      </c>
      <c r="G202" s="956">
        <v>30</v>
      </c>
      <c r="H202" s="961">
        <f t="shared" si="14"/>
        <v>45013</v>
      </c>
      <c r="I202" s="962">
        <f t="shared" si="15"/>
        <v>4</v>
      </c>
      <c r="J202" s="962">
        <f t="shared" si="16"/>
        <v>100638</v>
      </c>
      <c r="K202" s="962">
        <f t="shared" si="17"/>
        <v>0</v>
      </c>
      <c r="L202" s="962">
        <f t="shared" si="18"/>
        <v>0</v>
      </c>
      <c r="M202" s="962">
        <f t="shared" si="19"/>
        <v>0</v>
      </c>
      <c r="N202" s="962">
        <f t="shared" si="20"/>
        <v>0</v>
      </c>
    </row>
    <row r="203" spans="1:14" ht="15.6">
      <c r="A203" s="956"/>
      <c r="B203" s="956"/>
      <c r="C203" s="956"/>
      <c r="D203" s="958">
        <v>3014</v>
      </c>
      <c r="E203" s="959">
        <v>44983</v>
      </c>
      <c r="F203" s="966">
        <v>125233</v>
      </c>
      <c r="G203" s="956">
        <v>30</v>
      </c>
      <c r="H203" s="961">
        <f t="shared" si="14"/>
        <v>45013</v>
      </c>
      <c r="I203" s="962">
        <f t="shared" si="15"/>
        <v>4</v>
      </c>
      <c r="J203" s="962">
        <f t="shared" si="16"/>
        <v>125233</v>
      </c>
      <c r="K203" s="962">
        <f t="shared" si="17"/>
        <v>0</v>
      </c>
      <c r="L203" s="962">
        <f t="shared" si="18"/>
        <v>0</v>
      </c>
      <c r="M203" s="962">
        <f t="shared" si="19"/>
        <v>0</v>
      </c>
      <c r="N203" s="962">
        <f t="shared" si="20"/>
        <v>0</v>
      </c>
    </row>
    <row r="204" spans="1:14" ht="15.6">
      <c r="A204" s="956"/>
      <c r="B204" s="956"/>
      <c r="C204" s="956"/>
      <c r="D204" s="958">
        <v>3048</v>
      </c>
      <c r="E204" s="959">
        <v>44987</v>
      </c>
      <c r="F204" s="964">
        <v>227413</v>
      </c>
      <c r="G204" s="956">
        <v>30</v>
      </c>
      <c r="H204" s="961">
        <f t="shared" si="14"/>
        <v>45017</v>
      </c>
      <c r="I204" s="962">
        <f t="shared" si="15"/>
        <v>0</v>
      </c>
      <c r="J204" s="962">
        <f t="shared" si="16"/>
        <v>227413</v>
      </c>
      <c r="K204" s="962">
        <f t="shared" si="17"/>
        <v>0</v>
      </c>
      <c r="L204" s="962">
        <f t="shared" si="18"/>
        <v>0</v>
      </c>
      <c r="M204" s="962">
        <f t="shared" si="19"/>
        <v>0</v>
      </c>
      <c r="N204" s="962">
        <f t="shared" si="20"/>
        <v>0</v>
      </c>
    </row>
    <row r="205" spans="1:14" ht="15.6">
      <c r="A205" s="956"/>
      <c r="B205" s="956"/>
      <c r="C205" s="956"/>
      <c r="D205" s="958">
        <v>3068</v>
      </c>
      <c r="E205" s="959">
        <v>44989</v>
      </c>
      <c r="F205" s="964">
        <v>469166</v>
      </c>
      <c r="G205" s="956">
        <v>30</v>
      </c>
      <c r="H205" s="961">
        <f t="shared" si="14"/>
        <v>45019</v>
      </c>
      <c r="I205" s="962">
        <f t="shared" si="15"/>
        <v>-2</v>
      </c>
      <c r="J205" s="962">
        <f t="shared" si="16"/>
        <v>469166</v>
      </c>
      <c r="K205" s="962">
        <f t="shared" si="17"/>
        <v>0</v>
      </c>
      <c r="L205" s="962">
        <f t="shared" si="18"/>
        <v>0</v>
      </c>
      <c r="M205" s="962">
        <f t="shared" si="19"/>
        <v>0</v>
      </c>
      <c r="N205" s="962">
        <f t="shared" si="20"/>
        <v>0</v>
      </c>
    </row>
    <row r="206" spans="1:14" ht="15.6">
      <c r="A206" s="956"/>
      <c r="B206" s="956"/>
      <c r="C206" s="956"/>
      <c r="D206" s="958">
        <v>3069</v>
      </c>
      <c r="E206" s="959">
        <v>44989</v>
      </c>
      <c r="F206" s="964">
        <v>77524</v>
      </c>
      <c r="G206" s="956">
        <v>30</v>
      </c>
      <c r="H206" s="961">
        <f t="shared" si="14"/>
        <v>45019</v>
      </c>
      <c r="I206" s="962">
        <f t="shared" si="15"/>
        <v>-2</v>
      </c>
      <c r="J206" s="962">
        <f t="shared" si="16"/>
        <v>77524</v>
      </c>
      <c r="K206" s="962">
        <f t="shared" si="17"/>
        <v>0</v>
      </c>
      <c r="L206" s="962">
        <f t="shared" si="18"/>
        <v>0</v>
      </c>
      <c r="M206" s="962">
        <f t="shared" si="19"/>
        <v>0</v>
      </c>
      <c r="N206" s="962">
        <f t="shared" si="20"/>
        <v>0</v>
      </c>
    </row>
    <row r="207" spans="1:14" ht="15.6">
      <c r="A207" s="956"/>
      <c r="B207" s="956"/>
      <c r="C207" s="956"/>
      <c r="D207" s="958">
        <v>3071</v>
      </c>
      <c r="E207" s="959">
        <v>44990</v>
      </c>
      <c r="F207" s="964">
        <v>185033</v>
      </c>
      <c r="G207" s="956">
        <v>30</v>
      </c>
      <c r="H207" s="961">
        <f t="shared" si="14"/>
        <v>45020</v>
      </c>
      <c r="I207" s="962">
        <f t="shared" si="15"/>
        <v>-3</v>
      </c>
      <c r="J207" s="962">
        <f t="shared" si="16"/>
        <v>185033</v>
      </c>
      <c r="K207" s="962">
        <f t="shared" si="17"/>
        <v>0</v>
      </c>
      <c r="L207" s="962">
        <f t="shared" si="18"/>
        <v>0</v>
      </c>
      <c r="M207" s="962">
        <f t="shared" si="19"/>
        <v>0</v>
      </c>
      <c r="N207" s="962">
        <f t="shared" si="20"/>
        <v>0</v>
      </c>
    </row>
    <row r="208" spans="1:14" ht="15.6">
      <c r="A208" s="956"/>
      <c r="B208" s="956"/>
      <c r="C208" s="956"/>
      <c r="D208" s="958">
        <v>3076</v>
      </c>
      <c r="E208" s="959">
        <v>44990</v>
      </c>
      <c r="F208" s="964">
        <v>208525</v>
      </c>
      <c r="G208" s="956">
        <v>30</v>
      </c>
      <c r="H208" s="961">
        <f t="shared" si="14"/>
        <v>45020</v>
      </c>
      <c r="I208" s="962">
        <f t="shared" si="15"/>
        <v>-3</v>
      </c>
      <c r="J208" s="962">
        <f t="shared" si="16"/>
        <v>208525</v>
      </c>
      <c r="K208" s="962">
        <f t="shared" si="17"/>
        <v>0</v>
      </c>
      <c r="L208" s="962">
        <f t="shared" si="18"/>
        <v>0</v>
      </c>
      <c r="M208" s="962">
        <f t="shared" si="19"/>
        <v>0</v>
      </c>
      <c r="N208" s="962">
        <f t="shared" si="20"/>
        <v>0</v>
      </c>
    </row>
    <row r="209" spans="1:14" ht="15.6">
      <c r="A209" s="956"/>
      <c r="B209" s="956"/>
      <c r="C209" s="956"/>
      <c r="D209" s="968">
        <v>3078</v>
      </c>
      <c r="E209" s="969">
        <v>44990</v>
      </c>
      <c r="F209" s="966">
        <v>678157</v>
      </c>
      <c r="G209" s="956">
        <v>30</v>
      </c>
      <c r="H209" s="961">
        <f t="shared" si="14"/>
        <v>45020</v>
      </c>
      <c r="I209" s="962">
        <f t="shared" si="15"/>
        <v>-3</v>
      </c>
      <c r="J209" s="962">
        <f t="shared" si="16"/>
        <v>678157</v>
      </c>
      <c r="K209" s="962">
        <f t="shared" si="17"/>
        <v>0</v>
      </c>
      <c r="L209" s="962">
        <f t="shared" si="18"/>
        <v>0</v>
      </c>
      <c r="M209" s="962">
        <f t="shared" si="19"/>
        <v>0</v>
      </c>
      <c r="N209" s="962">
        <f t="shared" si="20"/>
        <v>0</v>
      </c>
    </row>
    <row r="210" spans="1:14" ht="15.6">
      <c r="A210" s="956"/>
      <c r="B210" s="956"/>
      <c r="C210" s="956"/>
      <c r="D210" s="958">
        <v>3090</v>
      </c>
      <c r="E210" s="959">
        <v>44993</v>
      </c>
      <c r="F210" s="964">
        <v>822768</v>
      </c>
      <c r="G210" s="956">
        <v>30</v>
      </c>
      <c r="H210" s="961">
        <f t="shared" si="14"/>
        <v>45023</v>
      </c>
      <c r="I210" s="962">
        <f t="shared" si="15"/>
        <v>-6</v>
      </c>
      <c r="J210" s="962">
        <f t="shared" si="16"/>
        <v>822768</v>
      </c>
      <c r="K210" s="962">
        <f t="shared" si="17"/>
        <v>0</v>
      </c>
      <c r="L210" s="962">
        <f t="shared" si="18"/>
        <v>0</v>
      </c>
      <c r="M210" s="962">
        <f t="shared" si="19"/>
        <v>0</v>
      </c>
      <c r="N210" s="962">
        <f t="shared" si="20"/>
        <v>0</v>
      </c>
    </row>
    <row r="211" spans="1:14" ht="15.6">
      <c r="A211" s="956"/>
      <c r="B211" s="956"/>
      <c r="C211" s="956"/>
      <c r="D211" s="958">
        <v>3093</v>
      </c>
      <c r="E211" s="959">
        <v>44994</v>
      </c>
      <c r="F211" s="964">
        <v>50276</v>
      </c>
      <c r="G211" s="956">
        <v>30</v>
      </c>
      <c r="H211" s="961">
        <f t="shared" si="14"/>
        <v>45024</v>
      </c>
      <c r="I211" s="962">
        <f t="shared" si="15"/>
        <v>-7</v>
      </c>
      <c r="J211" s="962">
        <f t="shared" si="16"/>
        <v>50276</v>
      </c>
      <c r="K211" s="962">
        <f t="shared" si="17"/>
        <v>0</v>
      </c>
      <c r="L211" s="962">
        <f t="shared" si="18"/>
        <v>0</v>
      </c>
      <c r="M211" s="962">
        <f t="shared" si="19"/>
        <v>0</v>
      </c>
      <c r="N211" s="962">
        <f t="shared" si="20"/>
        <v>0</v>
      </c>
    </row>
    <row r="212" spans="1:14" ht="15.6">
      <c r="A212" s="956"/>
      <c r="B212" s="956"/>
      <c r="C212" s="956"/>
      <c r="D212" s="958">
        <v>3097</v>
      </c>
      <c r="E212" s="959">
        <v>44994</v>
      </c>
      <c r="F212" s="964">
        <v>45127</v>
      </c>
      <c r="G212" s="956">
        <v>30</v>
      </c>
      <c r="H212" s="961">
        <f t="shared" si="14"/>
        <v>45024</v>
      </c>
      <c r="I212" s="962">
        <f t="shared" si="15"/>
        <v>-7</v>
      </c>
      <c r="J212" s="962">
        <f t="shared" si="16"/>
        <v>45127</v>
      </c>
      <c r="K212" s="962">
        <f t="shared" si="17"/>
        <v>0</v>
      </c>
      <c r="L212" s="962">
        <f t="shared" si="18"/>
        <v>0</v>
      </c>
      <c r="M212" s="962">
        <f t="shared" si="19"/>
        <v>0</v>
      </c>
      <c r="N212" s="962">
        <f t="shared" si="20"/>
        <v>0</v>
      </c>
    </row>
    <row r="213" spans="1:14" ht="15.6">
      <c r="A213" s="956"/>
      <c r="B213" s="956"/>
      <c r="C213" s="956"/>
      <c r="D213" s="958">
        <v>3099</v>
      </c>
      <c r="E213" s="959">
        <v>44994</v>
      </c>
      <c r="F213" s="964">
        <v>63957</v>
      </c>
      <c r="G213" s="956">
        <v>30</v>
      </c>
      <c r="H213" s="961">
        <f t="shared" si="14"/>
        <v>45024</v>
      </c>
      <c r="I213" s="962">
        <f t="shared" si="15"/>
        <v>-7</v>
      </c>
      <c r="J213" s="962">
        <f t="shared" si="16"/>
        <v>63957</v>
      </c>
      <c r="K213" s="962">
        <f t="shared" si="17"/>
        <v>0</v>
      </c>
      <c r="L213" s="962">
        <f t="shared" si="18"/>
        <v>0</v>
      </c>
      <c r="M213" s="962">
        <f t="shared" si="19"/>
        <v>0</v>
      </c>
      <c r="N213" s="962">
        <f t="shared" si="20"/>
        <v>0</v>
      </c>
    </row>
    <row r="214" spans="1:14" ht="15.6">
      <c r="A214" s="956"/>
      <c r="B214" s="956"/>
      <c r="C214" s="956"/>
      <c r="D214" s="958">
        <v>3133</v>
      </c>
      <c r="E214" s="959">
        <v>44997</v>
      </c>
      <c r="F214" s="964">
        <v>197297</v>
      </c>
      <c r="G214" s="956">
        <v>30</v>
      </c>
      <c r="H214" s="961">
        <f t="shared" si="14"/>
        <v>45027</v>
      </c>
      <c r="I214" s="962">
        <f t="shared" si="15"/>
        <v>-10</v>
      </c>
      <c r="J214" s="962">
        <f t="shared" si="16"/>
        <v>197297</v>
      </c>
      <c r="K214" s="962">
        <f t="shared" si="17"/>
        <v>0</v>
      </c>
      <c r="L214" s="962">
        <f t="shared" si="18"/>
        <v>0</v>
      </c>
      <c r="M214" s="962">
        <f t="shared" si="19"/>
        <v>0</v>
      </c>
      <c r="N214" s="962">
        <f t="shared" si="20"/>
        <v>0</v>
      </c>
    </row>
    <row r="215" spans="1:14" ht="15.6">
      <c r="A215" s="956"/>
      <c r="B215" s="956"/>
      <c r="C215" s="956"/>
      <c r="D215" s="958">
        <v>3134</v>
      </c>
      <c r="E215" s="959">
        <v>44997</v>
      </c>
      <c r="F215" s="964">
        <v>274280</v>
      </c>
      <c r="G215" s="956">
        <v>30</v>
      </c>
      <c r="H215" s="961">
        <f t="shared" si="14"/>
        <v>45027</v>
      </c>
      <c r="I215" s="962">
        <f t="shared" si="15"/>
        <v>-10</v>
      </c>
      <c r="J215" s="962">
        <f t="shared" si="16"/>
        <v>274280</v>
      </c>
      <c r="K215" s="962">
        <f t="shared" si="17"/>
        <v>0</v>
      </c>
      <c r="L215" s="962">
        <f t="shared" si="18"/>
        <v>0</v>
      </c>
      <c r="M215" s="962">
        <f t="shared" si="19"/>
        <v>0</v>
      </c>
      <c r="N215" s="962">
        <f t="shared" si="20"/>
        <v>0</v>
      </c>
    </row>
    <row r="216" spans="1:14" ht="15.6">
      <c r="A216" s="956"/>
      <c r="B216" s="956"/>
      <c r="C216" s="956"/>
      <c r="D216" s="958">
        <v>3139</v>
      </c>
      <c r="E216" s="959">
        <v>44998</v>
      </c>
      <c r="F216" s="964">
        <v>222027</v>
      </c>
      <c r="G216" s="956">
        <v>30</v>
      </c>
      <c r="H216" s="961">
        <f t="shared" si="14"/>
        <v>45028</v>
      </c>
      <c r="I216" s="962">
        <f t="shared" si="15"/>
        <v>-11</v>
      </c>
      <c r="J216" s="962">
        <f t="shared" si="16"/>
        <v>222027</v>
      </c>
      <c r="K216" s="962">
        <f t="shared" si="17"/>
        <v>0</v>
      </c>
      <c r="L216" s="962">
        <f t="shared" si="18"/>
        <v>0</v>
      </c>
      <c r="M216" s="962">
        <f t="shared" si="19"/>
        <v>0</v>
      </c>
      <c r="N216" s="962">
        <f t="shared" si="20"/>
        <v>0</v>
      </c>
    </row>
    <row r="217" spans="1:14" ht="15.6">
      <c r="A217" s="956"/>
      <c r="B217" s="956"/>
      <c r="C217" s="956"/>
      <c r="D217" s="958">
        <v>3140</v>
      </c>
      <c r="E217" s="959">
        <v>44998</v>
      </c>
      <c r="F217" s="964">
        <v>276428</v>
      </c>
      <c r="G217" s="956">
        <v>30</v>
      </c>
      <c r="H217" s="961">
        <f t="shared" si="14"/>
        <v>45028</v>
      </c>
      <c r="I217" s="962">
        <f t="shared" si="15"/>
        <v>-11</v>
      </c>
      <c r="J217" s="962">
        <f t="shared" si="16"/>
        <v>276428</v>
      </c>
      <c r="K217" s="962">
        <f t="shared" si="17"/>
        <v>0</v>
      </c>
      <c r="L217" s="962">
        <f t="shared" si="18"/>
        <v>0</v>
      </c>
      <c r="M217" s="962">
        <f t="shared" si="19"/>
        <v>0</v>
      </c>
      <c r="N217" s="962">
        <f t="shared" si="20"/>
        <v>0</v>
      </c>
    </row>
    <row r="218" spans="1:14" ht="15.6">
      <c r="A218" s="956"/>
      <c r="B218" s="956"/>
      <c r="C218" s="956"/>
      <c r="D218" s="958">
        <v>3142</v>
      </c>
      <c r="E218" s="959">
        <v>44998</v>
      </c>
      <c r="F218" s="964">
        <v>212856</v>
      </c>
      <c r="G218" s="956">
        <v>30</v>
      </c>
      <c r="H218" s="961">
        <f t="shared" si="14"/>
        <v>45028</v>
      </c>
      <c r="I218" s="962">
        <f t="shared" si="15"/>
        <v>-11</v>
      </c>
      <c r="J218" s="962">
        <f t="shared" si="16"/>
        <v>212856</v>
      </c>
      <c r="K218" s="962">
        <f t="shared" si="17"/>
        <v>0</v>
      </c>
      <c r="L218" s="962">
        <f t="shared" si="18"/>
        <v>0</v>
      </c>
      <c r="M218" s="962">
        <f t="shared" si="19"/>
        <v>0</v>
      </c>
      <c r="N218" s="962">
        <f t="shared" si="20"/>
        <v>0</v>
      </c>
    </row>
    <row r="219" spans="1:14" ht="15.6">
      <c r="A219" s="956"/>
      <c r="B219" s="956"/>
      <c r="C219" s="956"/>
      <c r="D219" s="958">
        <v>3158</v>
      </c>
      <c r="E219" s="959">
        <v>45000</v>
      </c>
      <c r="F219" s="964">
        <v>127206</v>
      </c>
      <c r="G219" s="956">
        <v>30</v>
      </c>
      <c r="H219" s="961">
        <f t="shared" si="14"/>
        <v>45030</v>
      </c>
      <c r="I219" s="962">
        <f t="shared" si="15"/>
        <v>-13</v>
      </c>
      <c r="J219" s="962">
        <f t="shared" si="16"/>
        <v>127206</v>
      </c>
      <c r="K219" s="962">
        <f t="shared" si="17"/>
        <v>0</v>
      </c>
      <c r="L219" s="962">
        <f t="shared" si="18"/>
        <v>0</v>
      </c>
      <c r="M219" s="962">
        <f t="shared" si="19"/>
        <v>0</v>
      </c>
      <c r="N219" s="962">
        <f t="shared" si="20"/>
        <v>0</v>
      </c>
    </row>
    <row r="220" spans="1:14" ht="15.6">
      <c r="A220" s="956"/>
      <c r="B220" s="956"/>
      <c r="C220" s="956"/>
      <c r="D220" s="958">
        <v>3164</v>
      </c>
      <c r="E220" s="959">
        <v>45001</v>
      </c>
      <c r="F220" s="964">
        <v>228061</v>
      </c>
      <c r="G220" s="956">
        <v>30</v>
      </c>
      <c r="H220" s="961">
        <f t="shared" si="14"/>
        <v>45031</v>
      </c>
      <c r="I220" s="962">
        <f t="shared" si="15"/>
        <v>-14</v>
      </c>
      <c r="J220" s="962">
        <f t="shared" si="16"/>
        <v>228061</v>
      </c>
      <c r="K220" s="962">
        <f t="shared" si="17"/>
        <v>0</v>
      </c>
      <c r="L220" s="962">
        <f t="shared" si="18"/>
        <v>0</v>
      </c>
      <c r="M220" s="962">
        <f t="shared" si="19"/>
        <v>0</v>
      </c>
      <c r="N220" s="962">
        <f t="shared" si="20"/>
        <v>0</v>
      </c>
    </row>
    <row r="221" spans="1:14" ht="15.6">
      <c r="A221" s="956"/>
      <c r="B221" s="956"/>
      <c r="C221" s="956"/>
      <c r="D221" s="958">
        <v>3165</v>
      </c>
      <c r="E221" s="959">
        <v>45001</v>
      </c>
      <c r="F221" s="964">
        <v>185163</v>
      </c>
      <c r="G221" s="956">
        <v>30</v>
      </c>
      <c r="H221" s="961">
        <f t="shared" si="14"/>
        <v>45031</v>
      </c>
      <c r="I221" s="962">
        <f t="shared" si="15"/>
        <v>-14</v>
      </c>
      <c r="J221" s="962">
        <f t="shared" si="16"/>
        <v>185163</v>
      </c>
      <c r="K221" s="962">
        <f t="shared" si="17"/>
        <v>0</v>
      </c>
      <c r="L221" s="962">
        <f t="shared" si="18"/>
        <v>0</v>
      </c>
      <c r="M221" s="962">
        <f t="shared" si="19"/>
        <v>0</v>
      </c>
      <c r="N221" s="962">
        <f t="shared" si="20"/>
        <v>0</v>
      </c>
    </row>
    <row r="222" spans="1:14" ht="15.6">
      <c r="A222" s="956"/>
      <c r="B222" s="956"/>
      <c r="C222" s="956"/>
      <c r="D222" s="958">
        <v>3176</v>
      </c>
      <c r="E222" s="959">
        <v>45002</v>
      </c>
      <c r="F222" s="964">
        <v>521173</v>
      </c>
      <c r="G222" s="956">
        <v>30</v>
      </c>
      <c r="H222" s="961">
        <f t="shared" si="14"/>
        <v>45032</v>
      </c>
      <c r="I222" s="962">
        <f t="shared" si="15"/>
        <v>-15</v>
      </c>
      <c r="J222" s="962">
        <f t="shared" si="16"/>
        <v>521173</v>
      </c>
      <c r="K222" s="962">
        <f t="shared" si="17"/>
        <v>0</v>
      </c>
      <c r="L222" s="962">
        <f t="shared" si="18"/>
        <v>0</v>
      </c>
      <c r="M222" s="962">
        <f t="shared" si="19"/>
        <v>0</v>
      </c>
      <c r="N222" s="962">
        <f t="shared" si="20"/>
        <v>0</v>
      </c>
    </row>
    <row r="223" spans="1:14" ht="15.6">
      <c r="A223" s="956"/>
      <c r="B223" s="956"/>
      <c r="C223" s="956"/>
      <c r="D223" s="958">
        <v>3180</v>
      </c>
      <c r="E223" s="959">
        <v>45002</v>
      </c>
      <c r="F223" s="964">
        <v>95820</v>
      </c>
      <c r="G223" s="956">
        <v>30</v>
      </c>
      <c r="H223" s="961">
        <f t="shared" si="14"/>
        <v>45032</v>
      </c>
      <c r="I223" s="962">
        <f t="shared" si="15"/>
        <v>-15</v>
      </c>
      <c r="J223" s="962">
        <f t="shared" si="16"/>
        <v>95820</v>
      </c>
      <c r="K223" s="962">
        <f t="shared" si="17"/>
        <v>0</v>
      </c>
      <c r="L223" s="962">
        <f t="shared" si="18"/>
        <v>0</v>
      </c>
      <c r="M223" s="962">
        <f t="shared" si="19"/>
        <v>0</v>
      </c>
      <c r="N223" s="962">
        <f t="shared" si="20"/>
        <v>0</v>
      </c>
    </row>
    <row r="224" spans="1:14" ht="15.6">
      <c r="A224" s="956"/>
      <c r="B224" s="956"/>
      <c r="C224" s="956"/>
      <c r="D224" s="958">
        <v>3186</v>
      </c>
      <c r="E224" s="959">
        <v>45003</v>
      </c>
      <c r="F224" s="964">
        <v>239596</v>
      </c>
      <c r="G224" s="956">
        <v>30</v>
      </c>
      <c r="H224" s="961">
        <f t="shared" si="14"/>
        <v>45033</v>
      </c>
      <c r="I224" s="962">
        <f t="shared" si="15"/>
        <v>-16</v>
      </c>
      <c r="J224" s="962">
        <f t="shared" si="16"/>
        <v>239596</v>
      </c>
      <c r="K224" s="962">
        <f t="shared" si="17"/>
        <v>0</v>
      </c>
      <c r="L224" s="962">
        <f t="shared" si="18"/>
        <v>0</v>
      </c>
      <c r="M224" s="962">
        <f t="shared" si="19"/>
        <v>0</v>
      </c>
      <c r="N224" s="962">
        <f t="shared" si="20"/>
        <v>0</v>
      </c>
    </row>
    <row r="225" spans="1:14" ht="15.6">
      <c r="A225" s="956"/>
      <c r="B225" s="956"/>
      <c r="C225" s="956"/>
      <c r="D225" s="958">
        <v>3193</v>
      </c>
      <c r="E225" s="959">
        <v>45004</v>
      </c>
      <c r="F225" s="964">
        <v>236149</v>
      </c>
      <c r="G225" s="956">
        <v>30</v>
      </c>
      <c r="H225" s="961">
        <f t="shared" si="14"/>
        <v>45034</v>
      </c>
      <c r="I225" s="962">
        <f t="shared" si="15"/>
        <v>-17</v>
      </c>
      <c r="J225" s="962">
        <f t="shared" si="16"/>
        <v>236149</v>
      </c>
      <c r="K225" s="962">
        <f t="shared" si="17"/>
        <v>0</v>
      </c>
      <c r="L225" s="962">
        <f t="shared" si="18"/>
        <v>0</v>
      </c>
      <c r="M225" s="962">
        <f t="shared" si="19"/>
        <v>0</v>
      </c>
      <c r="N225" s="962">
        <f t="shared" si="20"/>
        <v>0</v>
      </c>
    </row>
    <row r="226" spans="1:14" ht="15.6">
      <c r="A226" s="956"/>
      <c r="B226" s="956"/>
      <c r="C226" s="956"/>
      <c r="D226" s="958">
        <v>3194</v>
      </c>
      <c r="E226" s="959">
        <v>45004</v>
      </c>
      <c r="F226" s="964">
        <v>230352</v>
      </c>
      <c r="G226" s="956">
        <v>30</v>
      </c>
      <c r="H226" s="961">
        <f t="shared" si="14"/>
        <v>45034</v>
      </c>
      <c r="I226" s="962">
        <f t="shared" si="15"/>
        <v>-17</v>
      </c>
      <c r="J226" s="962">
        <f t="shared" si="16"/>
        <v>230352</v>
      </c>
      <c r="K226" s="962">
        <f t="shared" si="17"/>
        <v>0</v>
      </c>
      <c r="L226" s="962">
        <f t="shared" si="18"/>
        <v>0</v>
      </c>
      <c r="M226" s="962">
        <f t="shared" si="19"/>
        <v>0</v>
      </c>
      <c r="N226" s="962">
        <f t="shared" si="20"/>
        <v>0</v>
      </c>
    </row>
    <row r="227" spans="1:14" ht="15.6">
      <c r="A227" s="956"/>
      <c r="B227" s="956"/>
      <c r="C227" s="956"/>
      <c r="D227" s="958">
        <v>3199</v>
      </c>
      <c r="E227" s="959">
        <v>45004</v>
      </c>
      <c r="F227" s="964">
        <v>255197</v>
      </c>
      <c r="G227" s="956">
        <v>30</v>
      </c>
      <c r="H227" s="961">
        <f t="shared" si="14"/>
        <v>45034</v>
      </c>
      <c r="I227" s="962">
        <f t="shared" si="15"/>
        <v>-17</v>
      </c>
      <c r="J227" s="962">
        <f t="shared" si="16"/>
        <v>255197</v>
      </c>
      <c r="K227" s="962">
        <f t="shared" si="17"/>
        <v>0</v>
      </c>
      <c r="L227" s="962">
        <f t="shared" si="18"/>
        <v>0</v>
      </c>
      <c r="M227" s="962">
        <f t="shared" si="19"/>
        <v>0</v>
      </c>
      <c r="N227" s="962">
        <f t="shared" si="20"/>
        <v>0</v>
      </c>
    </row>
    <row r="228" spans="1:14" ht="15.6">
      <c r="A228" s="956"/>
      <c r="B228" s="956"/>
      <c r="C228" s="956"/>
      <c r="D228" s="958">
        <v>3203</v>
      </c>
      <c r="E228" s="959">
        <v>45005</v>
      </c>
      <c r="F228" s="964">
        <v>205269</v>
      </c>
      <c r="G228" s="956">
        <v>30</v>
      </c>
      <c r="H228" s="961">
        <f t="shared" si="14"/>
        <v>45035</v>
      </c>
      <c r="I228" s="962">
        <f t="shared" si="15"/>
        <v>-18</v>
      </c>
      <c r="J228" s="962">
        <f t="shared" si="16"/>
        <v>205269</v>
      </c>
      <c r="K228" s="962">
        <f t="shared" si="17"/>
        <v>0</v>
      </c>
      <c r="L228" s="962">
        <f t="shared" si="18"/>
        <v>0</v>
      </c>
      <c r="M228" s="962">
        <f t="shared" si="19"/>
        <v>0</v>
      </c>
      <c r="N228" s="962">
        <f t="shared" si="20"/>
        <v>0</v>
      </c>
    </row>
    <row r="229" spans="1:14" ht="15.6">
      <c r="A229" s="956"/>
      <c r="B229" s="956"/>
      <c r="C229" s="956"/>
      <c r="D229" s="958">
        <v>3218</v>
      </c>
      <c r="E229" s="959">
        <v>45007</v>
      </c>
      <c r="F229" s="964">
        <v>238401</v>
      </c>
      <c r="G229" s="956">
        <v>30</v>
      </c>
      <c r="H229" s="961">
        <f t="shared" si="14"/>
        <v>45037</v>
      </c>
      <c r="I229" s="962">
        <f t="shared" si="15"/>
        <v>-20</v>
      </c>
      <c r="J229" s="962">
        <f t="shared" si="16"/>
        <v>238401</v>
      </c>
      <c r="K229" s="962">
        <f t="shared" si="17"/>
        <v>0</v>
      </c>
      <c r="L229" s="962">
        <f t="shared" si="18"/>
        <v>0</v>
      </c>
      <c r="M229" s="962">
        <f t="shared" si="19"/>
        <v>0</v>
      </c>
      <c r="N229" s="962">
        <f t="shared" si="20"/>
        <v>0</v>
      </c>
    </row>
    <row r="230" spans="1:14" ht="15.6">
      <c r="A230" s="956"/>
      <c r="B230" s="956"/>
      <c r="C230" s="956"/>
      <c r="D230" s="958">
        <v>3219</v>
      </c>
      <c r="E230" s="959">
        <v>45007</v>
      </c>
      <c r="F230" s="964">
        <v>212903</v>
      </c>
      <c r="G230" s="956">
        <v>30</v>
      </c>
      <c r="H230" s="961">
        <f t="shared" ref="H230:H293" si="21">+E230+G230</f>
        <v>45037</v>
      </c>
      <c r="I230" s="962">
        <f t="shared" ref="I230:I293" si="22">+$Q$1-H230+1</f>
        <v>-20</v>
      </c>
      <c r="J230" s="962">
        <f t="shared" ref="J230:J293" si="23">IF(I230&lt;=30,F230,0)</f>
        <v>212903</v>
      </c>
      <c r="K230" s="962">
        <f t="shared" ref="K230:K293" si="24">IF(I230&lt;=30,0,IF(I230&gt;60,0,F230))</f>
        <v>0</v>
      </c>
      <c r="L230" s="962">
        <f t="shared" ref="L230:L293" si="25">IF(I230&lt;=60,0,IF(I230&gt;90,0,F230))</f>
        <v>0</v>
      </c>
      <c r="M230" s="962">
        <f t="shared" ref="M230:M293" si="26">IF(I230&lt;=90,0,IF(I230&gt;120,0,F230))</f>
        <v>0</v>
      </c>
      <c r="N230" s="962">
        <f t="shared" ref="N230:N293" si="27">IF(I230&lt;=120,0,F230)</f>
        <v>0</v>
      </c>
    </row>
    <row r="231" spans="1:14" ht="15.6">
      <c r="A231" s="956"/>
      <c r="B231" s="956"/>
      <c r="C231" s="956"/>
      <c r="D231" s="958">
        <v>3223</v>
      </c>
      <c r="E231" s="959">
        <v>45007</v>
      </c>
      <c r="F231" s="964">
        <v>125886</v>
      </c>
      <c r="G231" s="956">
        <v>30</v>
      </c>
      <c r="H231" s="961">
        <f t="shared" si="21"/>
        <v>45037</v>
      </c>
      <c r="I231" s="962">
        <f t="shared" si="22"/>
        <v>-20</v>
      </c>
      <c r="J231" s="962">
        <f t="shared" si="23"/>
        <v>125886</v>
      </c>
      <c r="K231" s="962">
        <f t="shared" si="24"/>
        <v>0</v>
      </c>
      <c r="L231" s="962">
        <f t="shared" si="25"/>
        <v>0</v>
      </c>
      <c r="M231" s="962">
        <f t="shared" si="26"/>
        <v>0</v>
      </c>
      <c r="N231" s="962">
        <f t="shared" si="27"/>
        <v>0</v>
      </c>
    </row>
    <row r="232" spans="1:14" ht="15.6">
      <c r="A232" s="956"/>
      <c r="B232" s="956"/>
      <c r="C232" s="956"/>
      <c r="D232" s="958">
        <v>3225</v>
      </c>
      <c r="E232" s="959">
        <v>45007</v>
      </c>
      <c r="F232" s="964">
        <v>330627</v>
      </c>
      <c r="G232" s="956">
        <v>30</v>
      </c>
      <c r="H232" s="961">
        <f t="shared" si="21"/>
        <v>45037</v>
      </c>
      <c r="I232" s="962">
        <f t="shared" si="22"/>
        <v>-20</v>
      </c>
      <c r="J232" s="962">
        <f t="shared" si="23"/>
        <v>330627</v>
      </c>
      <c r="K232" s="962">
        <f t="shared" si="24"/>
        <v>0</v>
      </c>
      <c r="L232" s="962">
        <f t="shared" si="25"/>
        <v>0</v>
      </c>
      <c r="M232" s="962">
        <f t="shared" si="26"/>
        <v>0</v>
      </c>
      <c r="N232" s="962">
        <f t="shared" si="27"/>
        <v>0</v>
      </c>
    </row>
    <row r="233" spans="1:14" ht="15.6">
      <c r="A233" s="956"/>
      <c r="B233" s="956"/>
      <c r="C233" s="956"/>
      <c r="D233" s="958">
        <v>3227</v>
      </c>
      <c r="E233" s="959">
        <v>45007</v>
      </c>
      <c r="F233" s="964">
        <v>255558</v>
      </c>
      <c r="G233" s="956">
        <v>30</v>
      </c>
      <c r="H233" s="961">
        <f t="shared" si="21"/>
        <v>45037</v>
      </c>
      <c r="I233" s="962">
        <f t="shared" si="22"/>
        <v>-20</v>
      </c>
      <c r="J233" s="962">
        <f t="shared" si="23"/>
        <v>255558</v>
      </c>
      <c r="K233" s="962">
        <f t="shared" si="24"/>
        <v>0</v>
      </c>
      <c r="L233" s="962">
        <f t="shared" si="25"/>
        <v>0</v>
      </c>
      <c r="M233" s="962">
        <f t="shared" si="26"/>
        <v>0</v>
      </c>
      <c r="N233" s="962">
        <f t="shared" si="27"/>
        <v>0</v>
      </c>
    </row>
    <row r="234" spans="1:14" ht="15.6">
      <c r="A234" s="956"/>
      <c r="B234" s="956"/>
      <c r="C234" s="956"/>
      <c r="D234" s="958">
        <v>3228</v>
      </c>
      <c r="E234" s="959">
        <v>45008</v>
      </c>
      <c r="F234" s="964">
        <v>162766</v>
      </c>
      <c r="G234" s="956">
        <v>30</v>
      </c>
      <c r="H234" s="961">
        <f t="shared" si="21"/>
        <v>45038</v>
      </c>
      <c r="I234" s="962">
        <f t="shared" si="22"/>
        <v>-21</v>
      </c>
      <c r="J234" s="962">
        <f t="shared" si="23"/>
        <v>162766</v>
      </c>
      <c r="K234" s="962">
        <f t="shared" si="24"/>
        <v>0</v>
      </c>
      <c r="L234" s="962">
        <f t="shared" si="25"/>
        <v>0</v>
      </c>
      <c r="M234" s="962">
        <f t="shared" si="26"/>
        <v>0</v>
      </c>
      <c r="N234" s="962">
        <f t="shared" si="27"/>
        <v>0</v>
      </c>
    </row>
    <row r="235" spans="1:14" ht="15.6">
      <c r="A235" s="956"/>
      <c r="B235" s="956"/>
      <c r="C235" s="956"/>
      <c r="D235" s="958">
        <v>3240</v>
      </c>
      <c r="E235" s="959">
        <v>45009</v>
      </c>
      <c r="F235" s="964">
        <v>208558</v>
      </c>
      <c r="G235" s="956">
        <v>30</v>
      </c>
      <c r="H235" s="961">
        <f t="shared" si="21"/>
        <v>45039</v>
      </c>
      <c r="I235" s="962">
        <f t="shared" si="22"/>
        <v>-22</v>
      </c>
      <c r="J235" s="962">
        <f t="shared" si="23"/>
        <v>208558</v>
      </c>
      <c r="K235" s="962">
        <f t="shared" si="24"/>
        <v>0</v>
      </c>
      <c r="L235" s="962">
        <f t="shared" si="25"/>
        <v>0</v>
      </c>
      <c r="M235" s="962">
        <f t="shared" si="26"/>
        <v>0</v>
      </c>
      <c r="N235" s="962">
        <f t="shared" si="27"/>
        <v>0</v>
      </c>
    </row>
    <row r="236" spans="1:14" ht="15.6">
      <c r="A236" s="956"/>
      <c r="B236" s="956"/>
      <c r="C236" s="956"/>
      <c r="D236" s="958">
        <v>3246</v>
      </c>
      <c r="E236" s="959">
        <v>45010</v>
      </c>
      <c r="F236" s="964">
        <v>268220</v>
      </c>
      <c r="G236" s="956">
        <v>30</v>
      </c>
      <c r="H236" s="961">
        <f t="shared" si="21"/>
        <v>45040</v>
      </c>
      <c r="I236" s="962">
        <f t="shared" si="22"/>
        <v>-23</v>
      </c>
      <c r="J236" s="962">
        <f t="shared" si="23"/>
        <v>268220</v>
      </c>
      <c r="K236" s="962">
        <f t="shared" si="24"/>
        <v>0</v>
      </c>
      <c r="L236" s="962">
        <f t="shared" si="25"/>
        <v>0</v>
      </c>
      <c r="M236" s="962">
        <f t="shared" si="26"/>
        <v>0</v>
      </c>
      <c r="N236" s="962">
        <f t="shared" si="27"/>
        <v>0</v>
      </c>
    </row>
    <row r="237" spans="1:14" ht="15.6">
      <c r="A237" s="956"/>
      <c r="B237" s="956"/>
      <c r="C237" s="956"/>
      <c r="D237" s="958">
        <v>3251</v>
      </c>
      <c r="E237" s="959">
        <v>45010</v>
      </c>
      <c r="F237" s="964">
        <v>532316</v>
      </c>
      <c r="G237" s="956">
        <v>30</v>
      </c>
      <c r="H237" s="961">
        <f t="shared" si="21"/>
        <v>45040</v>
      </c>
      <c r="I237" s="962">
        <f t="shared" si="22"/>
        <v>-23</v>
      </c>
      <c r="J237" s="962">
        <f t="shared" si="23"/>
        <v>532316</v>
      </c>
      <c r="K237" s="962">
        <f t="shared" si="24"/>
        <v>0</v>
      </c>
      <c r="L237" s="962">
        <f t="shared" si="25"/>
        <v>0</v>
      </c>
      <c r="M237" s="962">
        <f t="shared" si="26"/>
        <v>0</v>
      </c>
      <c r="N237" s="962">
        <f t="shared" si="27"/>
        <v>0</v>
      </c>
    </row>
    <row r="238" spans="1:14" ht="15.6">
      <c r="A238" s="956"/>
      <c r="B238" s="956"/>
      <c r="C238" s="956"/>
      <c r="D238" s="958">
        <v>3257</v>
      </c>
      <c r="E238" s="959">
        <v>45010</v>
      </c>
      <c r="F238" s="964">
        <v>146705</v>
      </c>
      <c r="G238" s="956">
        <v>30</v>
      </c>
      <c r="H238" s="961">
        <f t="shared" si="21"/>
        <v>45040</v>
      </c>
      <c r="I238" s="962">
        <f t="shared" si="22"/>
        <v>-23</v>
      </c>
      <c r="J238" s="962">
        <f t="shared" si="23"/>
        <v>146705</v>
      </c>
      <c r="K238" s="962">
        <f t="shared" si="24"/>
        <v>0</v>
      </c>
      <c r="L238" s="962">
        <f t="shared" si="25"/>
        <v>0</v>
      </c>
      <c r="M238" s="962">
        <f t="shared" si="26"/>
        <v>0</v>
      </c>
      <c r="N238" s="962">
        <f t="shared" si="27"/>
        <v>0</v>
      </c>
    </row>
    <row r="239" spans="1:14" ht="15.6">
      <c r="A239" s="956"/>
      <c r="B239" s="956"/>
      <c r="C239" s="956"/>
      <c r="D239" s="958">
        <v>3258</v>
      </c>
      <c r="E239" s="959">
        <v>45010</v>
      </c>
      <c r="F239" s="964">
        <v>196510</v>
      </c>
      <c r="G239" s="956">
        <v>30</v>
      </c>
      <c r="H239" s="961">
        <f t="shared" si="21"/>
        <v>45040</v>
      </c>
      <c r="I239" s="962">
        <f t="shared" si="22"/>
        <v>-23</v>
      </c>
      <c r="J239" s="962">
        <f t="shared" si="23"/>
        <v>196510</v>
      </c>
      <c r="K239" s="962">
        <f t="shared" si="24"/>
        <v>0</v>
      </c>
      <c r="L239" s="962">
        <f t="shared" si="25"/>
        <v>0</v>
      </c>
      <c r="M239" s="962">
        <f t="shared" si="26"/>
        <v>0</v>
      </c>
      <c r="N239" s="962">
        <f t="shared" si="27"/>
        <v>0</v>
      </c>
    </row>
    <row r="240" spans="1:14" ht="15.6">
      <c r="A240" s="956"/>
      <c r="B240" s="956"/>
      <c r="C240" s="956"/>
      <c r="D240" s="958">
        <v>3265</v>
      </c>
      <c r="E240" s="959">
        <v>45011</v>
      </c>
      <c r="F240" s="964">
        <v>230593</v>
      </c>
      <c r="G240" s="956">
        <v>30</v>
      </c>
      <c r="H240" s="961">
        <f t="shared" si="21"/>
        <v>45041</v>
      </c>
      <c r="I240" s="962">
        <f t="shared" si="22"/>
        <v>-24</v>
      </c>
      <c r="J240" s="962">
        <f t="shared" si="23"/>
        <v>230593</v>
      </c>
      <c r="K240" s="962">
        <f t="shared" si="24"/>
        <v>0</v>
      </c>
      <c r="L240" s="962">
        <f t="shared" si="25"/>
        <v>0</v>
      </c>
      <c r="M240" s="962">
        <f t="shared" si="26"/>
        <v>0</v>
      </c>
      <c r="N240" s="962">
        <f t="shared" si="27"/>
        <v>0</v>
      </c>
    </row>
    <row r="241" spans="1:14" ht="15.6">
      <c r="A241" s="956"/>
      <c r="B241" s="956"/>
      <c r="C241" s="956"/>
      <c r="D241" s="958">
        <v>3282</v>
      </c>
      <c r="E241" s="959">
        <v>45012</v>
      </c>
      <c r="F241" s="964">
        <v>209856</v>
      </c>
      <c r="G241" s="956">
        <v>30</v>
      </c>
      <c r="H241" s="961">
        <f t="shared" si="21"/>
        <v>45042</v>
      </c>
      <c r="I241" s="962">
        <f t="shared" si="22"/>
        <v>-25</v>
      </c>
      <c r="J241" s="962">
        <f t="shared" si="23"/>
        <v>209856</v>
      </c>
      <c r="K241" s="962">
        <f t="shared" si="24"/>
        <v>0</v>
      </c>
      <c r="L241" s="962">
        <f t="shared" si="25"/>
        <v>0</v>
      </c>
      <c r="M241" s="962">
        <f t="shared" si="26"/>
        <v>0</v>
      </c>
      <c r="N241" s="962">
        <f t="shared" si="27"/>
        <v>0</v>
      </c>
    </row>
    <row r="242" spans="1:14" ht="15.6">
      <c r="A242" s="956"/>
      <c r="B242" s="956"/>
      <c r="C242" s="956"/>
      <c r="D242" s="958">
        <v>3283</v>
      </c>
      <c r="E242" s="959">
        <v>45012</v>
      </c>
      <c r="F242" s="964">
        <v>203652</v>
      </c>
      <c r="G242" s="956">
        <v>30</v>
      </c>
      <c r="H242" s="961">
        <f t="shared" si="21"/>
        <v>45042</v>
      </c>
      <c r="I242" s="962">
        <f t="shared" si="22"/>
        <v>-25</v>
      </c>
      <c r="J242" s="962">
        <f t="shared" si="23"/>
        <v>203652</v>
      </c>
      <c r="K242" s="962">
        <f t="shared" si="24"/>
        <v>0</v>
      </c>
      <c r="L242" s="962">
        <f t="shared" si="25"/>
        <v>0</v>
      </c>
      <c r="M242" s="962">
        <f t="shared" si="26"/>
        <v>0</v>
      </c>
      <c r="N242" s="962">
        <f t="shared" si="27"/>
        <v>0</v>
      </c>
    </row>
    <row r="243" spans="1:14" ht="15.6">
      <c r="A243" s="956"/>
      <c r="B243" s="956"/>
      <c r="C243" s="956"/>
      <c r="D243" s="958">
        <v>3284</v>
      </c>
      <c r="E243" s="959">
        <v>45013</v>
      </c>
      <c r="F243" s="964">
        <v>432261</v>
      </c>
      <c r="G243" s="956">
        <v>30</v>
      </c>
      <c r="H243" s="961">
        <f t="shared" si="21"/>
        <v>45043</v>
      </c>
      <c r="I243" s="962">
        <f t="shared" si="22"/>
        <v>-26</v>
      </c>
      <c r="J243" s="962">
        <f t="shared" si="23"/>
        <v>432261</v>
      </c>
      <c r="K243" s="962">
        <f t="shared" si="24"/>
        <v>0</v>
      </c>
      <c r="L243" s="962">
        <f t="shared" si="25"/>
        <v>0</v>
      </c>
      <c r="M243" s="962">
        <f t="shared" si="26"/>
        <v>0</v>
      </c>
      <c r="N243" s="962">
        <f t="shared" si="27"/>
        <v>0</v>
      </c>
    </row>
    <row r="244" spans="1:14" ht="15.6">
      <c r="A244" s="956"/>
      <c r="B244" s="956"/>
      <c r="C244" s="956"/>
      <c r="D244" s="958">
        <v>3285</v>
      </c>
      <c r="E244" s="959">
        <v>45013</v>
      </c>
      <c r="F244" s="964">
        <v>247768</v>
      </c>
      <c r="G244" s="956">
        <v>30</v>
      </c>
      <c r="H244" s="961">
        <f t="shared" si="21"/>
        <v>45043</v>
      </c>
      <c r="I244" s="962">
        <f t="shared" si="22"/>
        <v>-26</v>
      </c>
      <c r="J244" s="962">
        <f t="shared" si="23"/>
        <v>247768</v>
      </c>
      <c r="K244" s="962">
        <f t="shared" si="24"/>
        <v>0</v>
      </c>
      <c r="L244" s="962">
        <f t="shared" si="25"/>
        <v>0</v>
      </c>
      <c r="M244" s="962">
        <f t="shared" si="26"/>
        <v>0</v>
      </c>
      <c r="N244" s="962">
        <f t="shared" si="27"/>
        <v>0</v>
      </c>
    </row>
    <row r="245" spans="1:14" ht="15.6">
      <c r="A245" s="956"/>
      <c r="B245" s="956"/>
      <c r="C245" s="956"/>
      <c r="D245" s="958">
        <v>3290</v>
      </c>
      <c r="E245" s="959">
        <v>45013</v>
      </c>
      <c r="F245" s="964">
        <v>221620</v>
      </c>
      <c r="G245" s="956">
        <v>30</v>
      </c>
      <c r="H245" s="961">
        <f t="shared" si="21"/>
        <v>45043</v>
      </c>
      <c r="I245" s="962">
        <f t="shared" si="22"/>
        <v>-26</v>
      </c>
      <c r="J245" s="962">
        <f t="shared" si="23"/>
        <v>221620</v>
      </c>
      <c r="K245" s="962">
        <f t="shared" si="24"/>
        <v>0</v>
      </c>
      <c r="L245" s="962">
        <f t="shared" si="25"/>
        <v>0</v>
      </c>
      <c r="M245" s="962">
        <f t="shared" si="26"/>
        <v>0</v>
      </c>
      <c r="N245" s="962">
        <f t="shared" si="27"/>
        <v>0</v>
      </c>
    </row>
    <row r="246" spans="1:14" ht="15.6">
      <c r="A246" s="956"/>
      <c r="B246" s="956"/>
      <c r="C246" s="956"/>
      <c r="D246" s="958">
        <v>3293</v>
      </c>
      <c r="E246" s="959">
        <v>45014</v>
      </c>
      <c r="F246" s="964">
        <v>484571</v>
      </c>
      <c r="G246" s="956">
        <v>30</v>
      </c>
      <c r="H246" s="961">
        <f t="shared" si="21"/>
        <v>45044</v>
      </c>
      <c r="I246" s="962">
        <f t="shared" si="22"/>
        <v>-27</v>
      </c>
      <c r="J246" s="962">
        <f t="shared" si="23"/>
        <v>484571</v>
      </c>
      <c r="K246" s="962">
        <f t="shared" si="24"/>
        <v>0</v>
      </c>
      <c r="L246" s="962">
        <f t="shared" si="25"/>
        <v>0</v>
      </c>
      <c r="M246" s="962">
        <f t="shared" si="26"/>
        <v>0</v>
      </c>
      <c r="N246" s="962">
        <f t="shared" si="27"/>
        <v>0</v>
      </c>
    </row>
    <row r="247" spans="1:14" ht="15.6">
      <c r="A247" s="956"/>
      <c r="B247" s="956"/>
      <c r="C247" s="956"/>
      <c r="D247" s="958">
        <v>3294</v>
      </c>
      <c r="E247" s="959">
        <v>45014</v>
      </c>
      <c r="F247" s="964">
        <v>243228</v>
      </c>
      <c r="G247" s="956">
        <v>30</v>
      </c>
      <c r="H247" s="961">
        <f t="shared" si="21"/>
        <v>45044</v>
      </c>
      <c r="I247" s="962">
        <f t="shared" si="22"/>
        <v>-27</v>
      </c>
      <c r="J247" s="962">
        <f t="shared" si="23"/>
        <v>243228</v>
      </c>
      <c r="K247" s="962">
        <f t="shared" si="24"/>
        <v>0</v>
      </c>
      <c r="L247" s="962">
        <f t="shared" si="25"/>
        <v>0</v>
      </c>
      <c r="M247" s="962">
        <f t="shared" si="26"/>
        <v>0</v>
      </c>
      <c r="N247" s="962">
        <f t="shared" si="27"/>
        <v>0</v>
      </c>
    </row>
    <row r="248" spans="1:14" ht="15.6">
      <c r="A248" s="956"/>
      <c r="B248" s="956"/>
      <c r="C248" s="956"/>
      <c r="D248" s="958">
        <v>3298</v>
      </c>
      <c r="E248" s="959">
        <v>45015</v>
      </c>
      <c r="F248" s="964">
        <v>248603</v>
      </c>
      <c r="G248" s="956">
        <v>30</v>
      </c>
      <c r="H248" s="961">
        <f t="shared" si="21"/>
        <v>45045</v>
      </c>
      <c r="I248" s="962">
        <f t="shared" si="22"/>
        <v>-28</v>
      </c>
      <c r="J248" s="962">
        <f t="shared" si="23"/>
        <v>248603</v>
      </c>
      <c r="K248" s="962">
        <f t="shared" si="24"/>
        <v>0</v>
      </c>
      <c r="L248" s="962">
        <f t="shared" si="25"/>
        <v>0</v>
      </c>
      <c r="M248" s="962">
        <f t="shared" si="26"/>
        <v>0</v>
      </c>
      <c r="N248" s="962">
        <f t="shared" si="27"/>
        <v>0</v>
      </c>
    </row>
    <row r="249" spans="1:14" ht="15.6">
      <c r="A249" s="956"/>
      <c r="B249" s="956"/>
      <c r="C249" s="956"/>
      <c r="D249" s="958">
        <v>3299</v>
      </c>
      <c r="E249" s="959">
        <v>45015</v>
      </c>
      <c r="F249" s="964">
        <v>303724</v>
      </c>
      <c r="G249" s="956">
        <v>30</v>
      </c>
      <c r="H249" s="961">
        <f t="shared" si="21"/>
        <v>45045</v>
      </c>
      <c r="I249" s="962">
        <f t="shared" si="22"/>
        <v>-28</v>
      </c>
      <c r="J249" s="962">
        <f t="shared" si="23"/>
        <v>303724</v>
      </c>
      <c r="K249" s="962">
        <f t="shared" si="24"/>
        <v>0</v>
      </c>
      <c r="L249" s="962">
        <f t="shared" si="25"/>
        <v>0</v>
      </c>
      <c r="M249" s="962">
        <f t="shared" si="26"/>
        <v>0</v>
      </c>
      <c r="N249" s="962">
        <f t="shared" si="27"/>
        <v>0</v>
      </c>
    </row>
    <row r="250" spans="1:14" ht="15.6">
      <c r="A250" s="956"/>
      <c r="B250" s="956"/>
      <c r="C250" s="956"/>
      <c r="D250" s="958">
        <v>3305</v>
      </c>
      <c r="E250" s="959">
        <v>45015</v>
      </c>
      <c r="F250" s="964">
        <v>473491</v>
      </c>
      <c r="G250" s="956">
        <v>30</v>
      </c>
      <c r="H250" s="961">
        <f t="shared" si="21"/>
        <v>45045</v>
      </c>
      <c r="I250" s="962">
        <f t="shared" si="22"/>
        <v>-28</v>
      </c>
      <c r="J250" s="962">
        <f t="shared" si="23"/>
        <v>473491</v>
      </c>
      <c r="K250" s="962">
        <f t="shared" si="24"/>
        <v>0</v>
      </c>
      <c r="L250" s="962">
        <f t="shared" si="25"/>
        <v>0</v>
      </c>
      <c r="M250" s="962">
        <f t="shared" si="26"/>
        <v>0</v>
      </c>
      <c r="N250" s="962">
        <f t="shared" si="27"/>
        <v>0</v>
      </c>
    </row>
    <row r="251" spans="1:14" ht="15.6">
      <c r="A251" s="956"/>
      <c r="B251" s="956"/>
      <c r="C251" s="956"/>
      <c r="D251" s="958">
        <v>3308</v>
      </c>
      <c r="E251" s="959">
        <v>45016</v>
      </c>
      <c r="F251" s="964">
        <v>269358</v>
      </c>
      <c r="G251" s="956">
        <v>30</v>
      </c>
      <c r="H251" s="961">
        <f t="shared" si="21"/>
        <v>45046</v>
      </c>
      <c r="I251" s="962">
        <f t="shared" si="22"/>
        <v>-29</v>
      </c>
      <c r="J251" s="962">
        <f t="shared" si="23"/>
        <v>269358</v>
      </c>
      <c r="K251" s="962">
        <f t="shared" si="24"/>
        <v>0</v>
      </c>
      <c r="L251" s="962">
        <f t="shared" si="25"/>
        <v>0</v>
      </c>
      <c r="M251" s="962">
        <f t="shared" si="26"/>
        <v>0</v>
      </c>
      <c r="N251" s="962">
        <f t="shared" si="27"/>
        <v>0</v>
      </c>
    </row>
    <row r="252" spans="1:14" ht="15.6">
      <c r="A252" s="956"/>
      <c r="B252" s="956"/>
      <c r="C252" s="956"/>
      <c r="D252" s="958" t="s">
        <v>2749</v>
      </c>
      <c r="E252" s="959">
        <v>45016</v>
      </c>
      <c r="F252" s="966">
        <v>-13639</v>
      </c>
      <c r="G252" s="956">
        <v>30</v>
      </c>
      <c r="H252" s="961">
        <f t="shared" si="21"/>
        <v>45046</v>
      </c>
      <c r="I252" s="962">
        <f t="shared" si="22"/>
        <v>-29</v>
      </c>
      <c r="J252" s="962">
        <f t="shared" si="23"/>
        <v>-13639</v>
      </c>
      <c r="K252" s="962">
        <f t="shared" si="24"/>
        <v>0</v>
      </c>
      <c r="L252" s="962">
        <f t="shared" si="25"/>
        <v>0</v>
      </c>
      <c r="M252" s="962">
        <f t="shared" si="26"/>
        <v>0</v>
      </c>
      <c r="N252" s="962">
        <f t="shared" si="27"/>
        <v>0</v>
      </c>
    </row>
    <row r="253" spans="1:14" ht="15.6">
      <c r="A253" s="956"/>
      <c r="B253" s="956"/>
      <c r="C253" s="956"/>
      <c r="D253" s="958" t="s">
        <v>2750</v>
      </c>
      <c r="E253" s="959">
        <v>45016</v>
      </c>
      <c r="F253" s="966">
        <v>-35358</v>
      </c>
      <c r="G253" s="956">
        <v>30</v>
      </c>
      <c r="H253" s="961">
        <f t="shared" si="21"/>
        <v>45046</v>
      </c>
      <c r="I253" s="962">
        <f t="shared" si="22"/>
        <v>-29</v>
      </c>
      <c r="J253" s="962">
        <f t="shared" si="23"/>
        <v>-35358</v>
      </c>
      <c r="K253" s="962">
        <f t="shared" si="24"/>
        <v>0</v>
      </c>
      <c r="L253" s="962">
        <f t="shared" si="25"/>
        <v>0</v>
      </c>
      <c r="M253" s="962">
        <f t="shared" si="26"/>
        <v>0</v>
      </c>
      <c r="N253" s="962">
        <f t="shared" si="27"/>
        <v>0</v>
      </c>
    </row>
    <row r="254" spans="1:14" ht="15.6">
      <c r="A254" s="956"/>
      <c r="B254" s="956"/>
      <c r="C254" s="956"/>
      <c r="D254" s="958"/>
      <c r="E254" s="959">
        <v>45016</v>
      </c>
      <c r="F254" s="966">
        <v>-16865</v>
      </c>
      <c r="G254" s="956">
        <v>30</v>
      </c>
      <c r="H254" s="961">
        <f t="shared" si="21"/>
        <v>45046</v>
      </c>
      <c r="I254" s="962">
        <f t="shared" si="22"/>
        <v>-29</v>
      </c>
      <c r="J254" s="962">
        <f t="shared" si="23"/>
        <v>-16865</v>
      </c>
      <c r="K254" s="962">
        <f t="shared" si="24"/>
        <v>0</v>
      </c>
      <c r="L254" s="962">
        <f t="shared" si="25"/>
        <v>0</v>
      </c>
      <c r="M254" s="962">
        <f t="shared" si="26"/>
        <v>0</v>
      </c>
      <c r="N254" s="962">
        <f t="shared" si="27"/>
        <v>0</v>
      </c>
    </row>
    <row r="255" spans="1:14" ht="15.6">
      <c r="A255" s="956"/>
      <c r="B255" s="956"/>
      <c r="C255" s="956"/>
      <c r="D255" s="958"/>
      <c r="E255" s="959"/>
      <c r="F255" s="967">
        <f>SUM(F162:F254)</f>
        <v>23215022</v>
      </c>
      <c r="G255" s="956"/>
      <c r="H255" s="961"/>
      <c r="I255" s="962"/>
      <c r="J255" s="962"/>
      <c r="K255" s="962"/>
      <c r="L255" s="962"/>
      <c r="M255" s="962"/>
      <c r="N255" s="962"/>
    </row>
    <row r="256" spans="1:14" ht="15.6">
      <c r="A256" s="956"/>
      <c r="B256" s="956"/>
      <c r="C256" s="956"/>
      <c r="D256" s="958"/>
      <c r="E256" s="959"/>
      <c r="F256" s="966"/>
      <c r="G256" s="956"/>
      <c r="H256" s="961"/>
      <c r="I256" s="962"/>
      <c r="J256" s="962"/>
      <c r="K256" s="962"/>
      <c r="L256" s="962"/>
      <c r="M256" s="962"/>
      <c r="N256" s="962"/>
    </row>
    <row r="257" spans="1:14" ht="15.6">
      <c r="A257" s="956">
        <v>11</v>
      </c>
      <c r="B257" s="957" t="s">
        <v>284</v>
      </c>
      <c r="C257" s="956"/>
      <c r="D257" s="958">
        <v>2976</v>
      </c>
      <c r="E257" s="959">
        <v>44979</v>
      </c>
      <c r="F257" s="966">
        <v>65020</v>
      </c>
      <c r="G257" s="956">
        <v>30</v>
      </c>
      <c r="H257" s="961">
        <f t="shared" si="21"/>
        <v>45009</v>
      </c>
      <c r="I257" s="962">
        <f t="shared" si="22"/>
        <v>8</v>
      </c>
      <c r="J257" s="962">
        <f t="shared" si="23"/>
        <v>65020</v>
      </c>
      <c r="K257" s="962">
        <f t="shared" si="24"/>
        <v>0</v>
      </c>
      <c r="L257" s="962">
        <f t="shared" si="25"/>
        <v>0</v>
      </c>
      <c r="M257" s="962">
        <f t="shared" si="26"/>
        <v>0</v>
      </c>
      <c r="N257" s="962">
        <f t="shared" si="27"/>
        <v>0</v>
      </c>
    </row>
    <row r="258" spans="1:14" ht="15.6">
      <c r="A258" s="956"/>
      <c r="B258" s="956"/>
      <c r="C258" s="956"/>
      <c r="D258" s="968">
        <v>2988</v>
      </c>
      <c r="E258" s="969">
        <v>44980</v>
      </c>
      <c r="F258" s="966">
        <v>52396</v>
      </c>
      <c r="G258" s="956">
        <v>30</v>
      </c>
      <c r="H258" s="961">
        <f t="shared" si="21"/>
        <v>45010</v>
      </c>
      <c r="I258" s="962">
        <f t="shared" si="22"/>
        <v>7</v>
      </c>
      <c r="J258" s="962">
        <f t="shared" si="23"/>
        <v>52396</v>
      </c>
      <c r="K258" s="962">
        <f t="shared" si="24"/>
        <v>0</v>
      </c>
      <c r="L258" s="962">
        <f t="shared" si="25"/>
        <v>0</v>
      </c>
      <c r="M258" s="962">
        <f t="shared" si="26"/>
        <v>0</v>
      </c>
      <c r="N258" s="962">
        <f t="shared" si="27"/>
        <v>0</v>
      </c>
    </row>
    <row r="259" spans="1:14" ht="15.6">
      <c r="A259" s="956"/>
      <c r="B259" s="956"/>
      <c r="C259" s="956"/>
      <c r="D259" s="958">
        <v>3054</v>
      </c>
      <c r="E259" s="959">
        <v>44988</v>
      </c>
      <c r="F259" s="964">
        <v>67223</v>
      </c>
      <c r="G259" s="956">
        <v>30</v>
      </c>
      <c r="H259" s="961">
        <f t="shared" si="21"/>
        <v>45018</v>
      </c>
      <c r="I259" s="962">
        <f t="shared" si="22"/>
        <v>-1</v>
      </c>
      <c r="J259" s="962">
        <f t="shared" si="23"/>
        <v>67223</v>
      </c>
      <c r="K259" s="962">
        <f t="shared" si="24"/>
        <v>0</v>
      </c>
      <c r="L259" s="962">
        <f t="shared" si="25"/>
        <v>0</v>
      </c>
      <c r="M259" s="962">
        <f t="shared" si="26"/>
        <v>0</v>
      </c>
      <c r="N259" s="962">
        <f t="shared" si="27"/>
        <v>0</v>
      </c>
    </row>
    <row r="260" spans="1:14" ht="15.6">
      <c r="A260" s="956"/>
      <c r="B260" s="956"/>
      <c r="C260" s="956"/>
      <c r="D260" s="958">
        <v>3062</v>
      </c>
      <c r="E260" s="959">
        <v>44989</v>
      </c>
      <c r="F260" s="964">
        <v>67092</v>
      </c>
      <c r="G260" s="956">
        <v>30</v>
      </c>
      <c r="H260" s="961">
        <f t="shared" si="21"/>
        <v>45019</v>
      </c>
      <c r="I260" s="962">
        <f t="shared" si="22"/>
        <v>-2</v>
      </c>
      <c r="J260" s="962">
        <f t="shared" si="23"/>
        <v>67092</v>
      </c>
      <c r="K260" s="962">
        <f t="shared" si="24"/>
        <v>0</v>
      </c>
      <c r="L260" s="962">
        <f t="shared" si="25"/>
        <v>0</v>
      </c>
      <c r="M260" s="962">
        <f t="shared" si="26"/>
        <v>0</v>
      </c>
      <c r="N260" s="962">
        <f t="shared" si="27"/>
        <v>0</v>
      </c>
    </row>
    <row r="261" spans="1:14" ht="15.6">
      <c r="A261" s="956"/>
      <c r="B261" s="956"/>
      <c r="C261" s="956"/>
      <c r="D261" s="958">
        <v>3080</v>
      </c>
      <c r="E261" s="959">
        <v>44991</v>
      </c>
      <c r="F261" s="964">
        <v>60016</v>
      </c>
      <c r="G261" s="956">
        <v>30</v>
      </c>
      <c r="H261" s="961">
        <f t="shared" si="21"/>
        <v>45021</v>
      </c>
      <c r="I261" s="962">
        <f t="shared" si="22"/>
        <v>-4</v>
      </c>
      <c r="J261" s="962">
        <f t="shared" si="23"/>
        <v>60016</v>
      </c>
      <c r="K261" s="962">
        <f t="shared" si="24"/>
        <v>0</v>
      </c>
      <c r="L261" s="962">
        <f t="shared" si="25"/>
        <v>0</v>
      </c>
      <c r="M261" s="962">
        <f t="shared" si="26"/>
        <v>0</v>
      </c>
      <c r="N261" s="962">
        <f t="shared" si="27"/>
        <v>0</v>
      </c>
    </row>
    <row r="262" spans="1:14" ht="15.6">
      <c r="A262" s="956"/>
      <c r="B262" s="956"/>
      <c r="C262" s="956"/>
      <c r="D262" s="958"/>
      <c r="E262" s="959"/>
      <c r="F262" s="965">
        <f>SUM(F257:F261)</f>
        <v>311747</v>
      </c>
      <c r="G262" s="956"/>
      <c r="H262" s="961"/>
      <c r="I262" s="962"/>
      <c r="J262" s="962"/>
      <c r="K262" s="962"/>
      <c r="L262" s="962"/>
      <c r="M262" s="962"/>
      <c r="N262" s="962"/>
    </row>
    <row r="263" spans="1:14" ht="15.6">
      <c r="A263" s="956"/>
      <c r="B263" s="956"/>
      <c r="C263" s="956"/>
      <c r="D263" s="958"/>
      <c r="E263" s="959"/>
      <c r="F263" s="964"/>
      <c r="G263" s="956"/>
      <c r="H263" s="961"/>
      <c r="I263" s="962"/>
      <c r="J263" s="962"/>
      <c r="K263" s="962"/>
      <c r="L263" s="962"/>
      <c r="M263" s="962"/>
      <c r="N263" s="962"/>
    </row>
    <row r="264" spans="1:14" ht="15.6">
      <c r="A264" s="956">
        <v>12</v>
      </c>
      <c r="B264" s="957" t="s">
        <v>305</v>
      </c>
      <c r="C264" s="956"/>
      <c r="D264" s="958">
        <v>3024</v>
      </c>
      <c r="E264" s="959">
        <v>44985</v>
      </c>
      <c r="F264" s="960">
        <v>721126</v>
      </c>
      <c r="G264" s="956">
        <v>30</v>
      </c>
      <c r="H264" s="961">
        <f t="shared" si="21"/>
        <v>45015</v>
      </c>
      <c r="I264" s="962">
        <f t="shared" si="22"/>
        <v>2</v>
      </c>
      <c r="J264" s="962">
        <f t="shared" si="23"/>
        <v>721126</v>
      </c>
      <c r="K264" s="962">
        <f t="shared" si="24"/>
        <v>0</v>
      </c>
      <c r="L264" s="962">
        <f t="shared" si="25"/>
        <v>0</v>
      </c>
      <c r="M264" s="962">
        <f t="shared" si="26"/>
        <v>0</v>
      </c>
      <c r="N264" s="962">
        <f t="shared" si="27"/>
        <v>0</v>
      </c>
    </row>
    <row r="265" spans="1:14" ht="15.6">
      <c r="A265" s="956"/>
      <c r="B265" s="956"/>
      <c r="C265" s="956"/>
      <c r="D265" s="958">
        <v>3208</v>
      </c>
      <c r="E265" s="959">
        <v>45006</v>
      </c>
      <c r="F265" s="960">
        <v>706261</v>
      </c>
      <c r="G265" s="956">
        <v>30</v>
      </c>
      <c r="H265" s="961">
        <f t="shared" si="21"/>
        <v>45036</v>
      </c>
      <c r="I265" s="962">
        <f t="shared" si="22"/>
        <v>-19</v>
      </c>
      <c r="J265" s="962">
        <f t="shared" si="23"/>
        <v>706261</v>
      </c>
      <c r="K265" s="962">
        <f t="shared" si="24"/>
        <v>0</v>
      </c>
      <c r="L265" s="962">
        <f t="shared" si="25"/>
        <v>0</v>
      </c>
      <c r="M265" s="962">
        <f t="shared" si="26"/>
        <v>0</v>
      </c>
      <c r="N265" s="962">
        <f t="shared" si="27"/>
        <v>0</v>
      </c>
    </row>
    <row r="266" spans="1:14" ht="15.6">
      <c r="A266" s="956"/>
      <c r="B266" s="956"/>
      <c r="C266" s="956"/>
      <c r="D266" s="958">
        <v>3226</v>
      </c>
      <c r="E266" s="959">
        <v>45007</v>
      </c>
      <c r="F266" s="960">
        <v>764647</v>
      </c>
      <c r="G266" s="956">
        <v>30</v>
      </c>
      <c r="H266" s="961">
        <f t="shared" si="21"/>
        <v>45037</v>
      </c>
      <c r="I266" s="962">
        <f t="shared" si="22"/>
        <v>-20</v>
      </c>
      <c r="J266" s="962">
        <f t="shared" si="23"/>
        <v>764647</v>
      </c>
      <c r="K266" s="962">
        <f t="shared" si="24"/>
        <v>0</v>
      </c>
      <c r="L266" s="962">
        <f t="shared" si="25"/>
        <v>0</v>
      </c>
      <c r="M266" s="962">
        <f t="shared" si="26"/>
        <v>0</v>
      </c>
      <c r="N266" s="962">
        <f t="shared" si="27"/>
        <v>0</v>
      </c>
    </row>
    <row r="267" spans="1:14" ht="15.6">
      <c r="A267" s="956"/>
      <c r="B267" s="956"/>
      <c r="C267" s="956"/>
      <c r="D267" s="958">
        <v>3255</v>
      </c>
      <c r="E267" s="959">
        <v>45010</v>
      </c>
      <c r="F267" s="960">
        <v>699377</v>
      </c>
      <c r="G267" s="956">
        <v>30</v>
      </c>
      <c r="H267" s="961">
        <f t="shared" si="21"/>
        <v>45040</v>
      </c>
      <c r="I267" s="962">
        <f t="shared" si="22"/>
        <v>-23</v>
      </c>
      <c r="J267" s="962">
        <f t="shared" si="23"/>
        <v>699377</v>
      </c>
      <c r="K267" s="962">
        <f t="shared" si="24"/>
        <v>0</v>
      </c>
      <c r="L267" s="962">
        <f t="shared" si="25"/>
        <v>0</v>
      </c>
      <c r="M267" s="962">
        <f t="shared" si="26"/>
        <v>0</v>
      </c>
      <c r="N267" s="962">
        <f t="shared" si="27"/>
        <v>0</v>
      </c>
    </row>
    <row r="268" spans="1:14" ht="15.6">
      <c r="A268" s="956"/>
      <c r="B268" s="956"/>
      <c r="C268" s="956"/>
      <c r="D268" s="958"/>
      <c r="E268" s="959">
        <v>45010</v>
      </c>
      <c r="F268" s="960">
        <v>6773</v>
      </c>
      <c r="G268" s="956">
        <v>30</v>
      </c>
      <c r="H268" s="961"/>
      <c r="I268" s="962"/>
      <c r="J268" s="962">
        <f t="shared" si="23"/>
        <v>6773</v>
      </c>
      <c r="K268" s="962"/>
      <c r="L268" s="962"/>
      <c r="M268" s="962"/>
      <c r="N268" s="962"/>
    </row>
    <row r="269" spans="1:14" ht="15.6">
      <c r="A269" s="956"/>
      <c r="B269" s="956"/>
      <c r="C269" s="956"/>
      <c r="D269" s="958"/>
      <c r="E269" s="959"/>
      <c r="F269" s="963">
        <f>SUM(F264:F268)</f>
        <v>2898184</v>
      </c>
      <c r="G269" s="956"/>
      <c r="H269" s="961"/>
      <c r="I269" s="962"/>
      <c r="J269" s="962"/>
      <c r="K269" s="962"/>
      <c r="L269" s="962"/>
      <c r="M269" s="962"/>
      <c r="N269" s="962"/>
    </row>
    <row r="270" spans="1:14" ht="15.6">
      <c r="A270" s="956"/>
      <c r="B270" s="956"/>
      <c r="C270" s="956"/>
      <c r="D270" s="958"/>
      <c r="E270" s="959"/>
      <c r="F270" s="963"/>
      <c r="G270" s="956"/>
      <c r="H270" s="961"/>
      <c r="I270" s="962"/>
      <c r="J270" s="962"/>
      <c r="K270" s="962"/>
      <c r="L270" s="962"/>
      <c r="M270" s="962"/>
      <c r="N270" s="962"/>
    </row>
    <row r="271" spans="1:14" ht="15.6">
      <c r="A271" s="956">
        <v>13</v>
      </c>
      <c r="B271" s="957" t="s">
        <v>343</v>
      </c>
      <c r="C271" s="956"/>
      <c r="D271" s="958">
        <v>3263</v>
      </c>
      <c r="E271" s="959">
        <v>45011</v>
      </c>
      <c r="F271" s="964">
        <v>524289</v>
      </c>
      <c r="G271" s="956">
        <v>30</v>
      </c>
      <c r="H271" s="961">
        <f t="shared" si="21"/>
        <v>45041</v>
      </c>
      <c r="I271" s="962">
        <f t="shared" si="22"/>
        <v>-24</v>
      </c>
      <c r="J271" s="962">
        <f t="shared" si="23"/>
        <v>524289</v>
      </c>
      <c r="K271" s="962">
        <f t="shared" si="24"/>
        <v>0</v>
      </c>
      <c r="L271" s="962">
        <f t="shared" si="25"/>
        <v>0</v>
      </c>
      <c r="M271" s="962">
        <f t="shared" si="26"/>
        <v>0</v>
      </c>
      <c r="N271" s="962">
        <f t="shared" si="27"/>
        <v>0</v>
      </c>
    </row>
    <row r="272" spans="1:14" ht="15.6">
      <c r="A272" s="956"/>
      <c r="B272" s="956"/>
      <c r="C272" s="956"/>
      <c r="D272" s="958">
        <v>3291</v>
      </c>
      <c r="E272" s="959">
        <v>45013</v>
      </c>
      <c r="F272" s="964">
        <v>252245</v>
      </c>
      <c r="G272" s="956">
        <v>30</v>
      </c>
      <c r="H272" s="961">
        <f t="shared" si="21"/>
        <v>45043</v>
      </c>
      <c r="I272" s="962">
        <f t="shared" si="22"/>
        <v>-26</v>
      </c>
      <c r="J272" s="962">
        <f t="shared" si="23"/>
        <v>252245</v>
      </c>
      <c r="K272" s="962">
        <f t="shared" si="24"/>
        <v>0</v>
      </c>
      <c r="L272" s="962">
        <f t="shared" si="25"/>
        <v>0</v>
      </c>
      <c r="M272" s="962">
        <f t="shared" si="26"/>
        <v>0</v>
      </c>
      <c r="N272" s="962">
        <f t="shared" si="27"/>
        <v>0</v>
      </c>
    </row>
    <row r="273" spans="1:14" ht="15.6">
      <c r="A273" s="956"/>
      <c r="B273" s="956"/>
      <c r="C273" s="956"/>
      <c r="D273" s="958">
        <v>3307</v>
      </c>
      <c r="E273" s="959">
        <v>45016</v>
      </c>
      <c r="F273" s="964">
        <v>226542</v>
      </c>
      <c r="G273" s="956">
        <v>30</v>
      </c>
      <c r="H273" s="961">
        <f t="shared" si="21"/>
        <v>45046</v>
      </c>
      <c r="I273" s="962">
        <f t="shared" si="22"/>
        <v>-29</v>
      </c>
      <c r="J273" s="962">
        <f t="shared" si="23"/>
        <v>226542</v>
      </c>
      <c r="K273" s="962">
        <f t="shared" si="24"/>
        <v>0</v>
      </c>
      <c r="L273" s="962">
        <f t="shared" si="25"/>
        <v>0</v>
      </c>
      <c r="M273" s="962">
        <f t="shared" si="26"/>
        <v>0</v>
      </c>
      <c r="N273" s="962">
        <f t="shared" si="27"/>
        <v>0</v>
      </c>
    </row>
    <row r="274" spans="1:14" ht="15.6">
      <c r="A274" s="956"/>
      <c r="B274" s="956"/>
      <c r="C274" s="956"/>
      <c r="D274" s="958" t="s">
        <v>2751</v>
      </c>
      <c r="E274" s="959">
        <v>45016</v>
      </c>
      <c r="F274" s="966">
        <v>-28340</v>
      </c>
      <c r="G274" s="956">
        <v>30</v>
      </c>
      <c r="H274" s="961"/>
      <c r="I274" s="962"/>
      <c r="J274" s="962">
        <f t="shared" si="23"/>
        <v>-28340</v>
      </c>
      <c r="K274" s="962"/>
      <c r="L274" s="962"/>
      <c r="M274" s="962"/>
      <c r="N274" s="962"/>
    </row>
    <row r="275" spans="1:14" ht="15.6">
      <c r="A275" s="956"/>
      <c r="B275" s="956"/>
      <c r="C275" s="956"/>
      <c r="D275" s="958" t="s">
        <v>2752</v>
      </c>
      <c r="E275" s="959">
        <v>45016</v>
      </c>
      <c r="F275" s="966">
        <v>-13635</v>
      </c>
      <c r="G275" s="956">
        <v>30</v>
      </c>
      <c r="H275" s="961"/>
      <c r="I275" s="962"/>
      <c r="J275" s="962">
        <f t="shared" si="23"/>
        <v>-13635</v>
      </c>
      <c r="K275" s="962"/>
      <c r="L275" s="962"/>
      <c r="M275" s="962"/>
      <c r="N275" s="962"/>
    </row>
    <row r="276" spans="1:14" ht="15.6">
      <c r="A276" s="956"/>
      <c r="B276" s="956"/>
      <c r="C276" s="956"/>
      <c r="D276" s="958" t="s">
        <v>2113</v>
      </c>
      <c r="E276" s="959"/>
      <c r="F276" s="966">
        <v>-239.5</v>
      </c>
      <c r="G276" s="956">
        <v>30</v>
      </c>
      <c r="H276" s="961"/>
      <c r="I276" s="962"/>
      <c r="J276" s="962">
        <f t="shared" si="23"/>
        <v>-239.5</v>
      </c>
      <c r="K276" s="962"/>
      <c r="L276" s="962"/>
      <c r="M276" s="962"/>
      <c r="N276" s="962"/>
    </row>
    <row r="277" spans="1:14" ht="15.6">
      <c r="A277" s="956"/>
      <c r="B277" s="956"/>
      <c r="C277" s="956"/>
      <c r="D277" s="958"/>
      <c r="E277" s="959"/>
      <c r="F277" s="967">
        <f>SUM(F271:F276)</f>
        <v>960861.5</v>
      </c>
      <c r="G277" s="956"/>
      <c r="H277" s="961"/>
      <c r="I277" s="962"/>
      <c r="J277" s="962"/>
      <c r="K277" s="962"/>
      <c r="L277" s="962"/>
      <c r="M277" s="962"/>
      <c r="N277" s="962"/>
    </row>
    <row r="278" spans="1:14" ht="15.6">
      <c r="A278" s="956"/>
      <c r="B278" s="956"/>
      <c r="C278" s="956"/>
      <c r="D278" s="958"/>
      <c r="E278" s="959"/>
      <c r="F278" s="966"/>
      <c r="G278" s="956"/>
      <c r="H278" s="961"/>
      <c r="I278" s="962"/>
      <c r="J278" s="962"/>
      <c r="K278" s="962"/>
      <c r="L278" s="962"/>
      <c r="M278" s="962"/>
      <c r="N278" s="962"/>
    </row>
    <row r="279" spans="1:14" ht="15.6">
      <c r="A279" s="956">
        <v>14</v>
      </c>
      <c r="B279" s="957" t="s">
        <v>469</v>
      </c>
      <c r="C279" s="956"/>
      <c r="D279" s="958">
        <v>2758</v>
      </c>
      <c r="E279" s="959">
        <v>44959</v>
      </c>
      <c r="F279" s="966">
        <v>83794</v>
      </c>
      <c r="G279" s="956">
        <v>30</v>
      </c>
      <c r="H279" s="961">
        <f t="shared" si="21"/>
        <v>44989</v>
      </c>
      <c r="I279" s="962">
        <f t="shared" si="22"/>
        <v>28</v>
      </c>
      <c r="J279" s="962">
        <f t="shared" si="23"/>
        <v>83794</v>
      </c>
      <c r="K279" s="962">
        <f t="shared" si="24"/>
        <v>0</v>
      </c>
      <c r="L279" s="962">
        <f t="shared" si="25"/>
        <v>0</v>
      </c>
      <c r="M279" s="962">
        <f t="shared" si="26"/>
        <v>0</v>
      </c>
      <c r="N279" s="962">
        <f t="shared" si="27"/>
        <v>0</v>
      </c>
    </row>
    <row r="280" spans="1:14" ht="15.6">
      <c r="A280" s="956"/>
      <c r="B280" s="956"/>
      <c r="C280" s="956"/>
      <c r="D280" s="958">
        <v>2761</v>
      </c>
      <c r="E280" s="959">
        <v>44959</v>
      </c>
      <c r="F280" s="966">
        <v>380177</v>
      </c>
      <c r="G280" s="956">
        <v>30</v>
      </c>
      <c r="H280" s="961">
        <f t="shared" si="21"/>
        <v>44989</v>
      </c>
      <c r="I280" s="962">
        <f t="shared" si="22"/>
        <v>28</v>
      </c>
      <c r="J280" s="962">
        <f t="shared" si="23"/>
        <v>380177</v>
      </c>
      <c r="K280" s="962">
        <f t="shared" si="24"/>
        <v>0</v>
      </c>
      <c r="L280" s="962">
        <f t="shared" si="25"/>
        <v>0</v>
      </c>
      <c r="M280" s="962">
        <f t="shared" si="26"/>
        <v>0</v>
      </c>
      <c r="N280" s="962">
        <f t="shared" si="27"/>
        <v>0</v>
      </c>
    </row>
    <row r="281" spans="1:14" ht="15.6">
      <c r="A281" s="956"/>
      <c r="B281" s="956"/>
      <c r="C281" s="956"/>
      <c r="D281" s="958">
        <v>2774</v>
      </c>
      <c r="E281" s="959">
        <v>44960</v>
      </c>
      <c r="F281" s="966">
        <v>28498</v>
      </c>
      <c r="G281" s="956">
        <v>30</v>
      </c>
      <c r="H281" s="961">
        <f t="shared" si="21"/>
        <v>44990</v>
      </c>
      <c r="I281" s="962">
        <f t="shared" si="22"/>
        <v>27</v>
      </c>
      <c r="J281" s="962">
        <f t="shared" si="23"/>
        <v>28498</v>
      </c>
      <c r="K281" s="962">
        <f t="shared" si="24"/>
        <v>0</v>
      </c>
      <c r="L281" s="962">
        <f t="shared" si="25"/>
        <v>0</v>
      </c>
      <c r="M281" s="962">
        <f t="shared" si="26"/>
        <v>0</v>
      </c>
      <c r="N281" s="962">
        <f t="shared" si="27"/>
        <v>0</v>
      </c>
    </row>
    <row r="282" spans="1:14" ht="15.6">
      <c r="A282" s="956"/>
      <c r="B282" s="956"/>
      <c r="C282" s="956"/>
      <c r="D282" s="958">
        <v>2780</v>
      </c>
      <c r="E282" s="959">
        <v>44961</v>
      </c>
      <c r="F282" s="966">
        <v>213661</v>
      </c>
      <c r="G282" s="956">
        <v>30</v>
      </c>
      <c r="H282" s="961">
        <f t="shared" si="21"/>
        <v>44991</v>
      </c>
      <c r="I282" s="962">
        <f t="shared" si="22"/>
        <v>26</v>
      </c>
      <c r="J282" s="962">
        <f t="shared" si="23"/>
        <v>213661</v>
      </c>
      <c r="K282" s="962">
        <f t="shared" si="24"/>
        <v>0</v>
      </c>
      <c r="L282" s="962">
        <f t="shared" si="25"/>
        <v>0</v>
      </c>
      <c r="M282" s="962">
        <f t="shared" si="26"/>
        <v>0</v>
      </c>
      <c r="N282" s="962">
        <f t="shared" si="27"/>
        <v>0</v>
      </c>
    </row>
    <row r="283" spans="1:14" ht="15.6">
      <c r="A283" s="956"/>
      <c r="B283" s="956"/>
      <c r="C283" s="956"/>
      <c r="D283" s="958">
        <v>2782</v>
      </c>
      <c r="E283" s="959">
        <v>44961</v>
      </c>
      <c r="F283" s="966">
        <v>571688</v>
      </c>
      <c r="G283" s="956">
        <v>30</v>
      </c>
      <c r="H283" s="961">
        <f t="shared" si="21"/>
        <v>44991</v>
      </c>
      <c r="I283" s="962">
        <f t="shared" si="22"/>
        <v>26</v>
      </c>
      <c r="J283" s="962">
        <f t="shared" si="23"/>
        <v>571688</v>
      </c>
      <c r="K283" s="962">
        <f t="shared" si="24"/>
        <v>0</v>
      </c>
      <c r="L283" s="962">
        <f t="shared" si="25"/>
        <v>0</v>
      </c>
      <c r="M283" s="962">
        <f t="shared" si="26"/>
        <v>0</v>
      </c>
      <c r="N283" s="962">
        <f t="shared" si="27"/>
        <v>0</v>
      </c>
    </row>
    <row r="284" spans="1:14" ht="15.6">
      <c r="A284" s="956"/>
      <c r="B284" s="956"/>
      <c r="C284" s="956"/>
      <c r="D284" s="958">
        <v>2789</v>
      </c>
      <c r="E284" s="959">
        <v>44961</v>
      </c>
      <c r="F284" s="966">
        <v>213488</v>
      </c>
      <c r="G284" s="956">
        <v>30</v>
      </c>
      <c r="H284" s="961">
        <f t="shared" si="21"/>
        <v>44991</v>
      </c>
      <c r="I284" s="962">
        <f t="shared" si="22"/>
        <v>26</v>
      </c>
      <c r="J284" s="962">
        <f t="shared" si="23"/>
        <v>213488</v>
      </c>
      <c r="K284" s="962">
        <f t="shared" si="24"/>
        <v>0</v>
      </c>
      <c r="L284" s="962">
        <f t="shared" si="25"/>
        <v>0</v>
      </c>
      <c r="M284" s="962">
        <f t="shared" si="26"/>
        <v>0</v>
      </c>
      <c r="N284" s="962">
        <f t="shared" si="27"/>
        <v>0</v>
      </c>
    </row>
    <row r="285" spans="1:14" ht="15.6">
      <c r="A285" s="956"/>
      <c r="B285" s="956"/>
      <c r="C285" s="956"/>
      <c r="D285" s="958">
        <v>2792</v>
      </c>
      <c r="E285" s="959">
        <v>44961</v>
      </c>
      <c r="F285" s="966">
        <v>139185</v>
      </c>
      <c r="G285" s="956">
        <v>30</v>
      </c>
      <c r="H285" s="961">
        <f t="shared" si="21"/>
        <v>44991</v>
      </c>
      <c r="I285" s="962">
        <f t="shared" si="22"/>
        <v>26</v>
      </c>
      <c r="J285" s="962">
        <f t="shared" si="23"/>
        <v>139185</v>
      </c>
      <c r="K285" s="962">
        <f t="shared" si="24"/>
        <v>0</v>
      </c>
      <c r="L285" s="962">
        <f t="shared" si="25"/>
        <v>0</v>
      </c>
      <c r="M285" s="962">
        <f t="shared" si="26"/>
        <v>0</v>
      </c>
      <c r="N285" s="962">
        <f t="shared" si="27"/>
        <v>0</v>
      </c>
    </row>
    <row r="286" spans="1:14" ht="15.6">
      <c r="A286" s="956"/>
      <c r="B286" s="956"/>
      <c r="C286" s="956"/>
      <c r="D286" s="958">
        <v>2796</v>
      </c>
      <c r="E286" s="959">
        <v>44962</v>
      </c>
      <c r="F286" s="966">
        <v>237395</v>
      </c>
      <c r="G286" s="956">
        <v>30</v>
      </c>
      <c r="H286" s="961">
        <f t="shared" si="21"/>
        <v>44992</v>
      </c>
      <c r="I286" s="962">
        <f t="shared" si="22"/>
        <v>25</v>
      </c>
      <c r="J286" s="962">
        <f t="shared" si="23"/>
        <v>237395</v>
      </c>
      <c r="K286" s="962">
        <f t="shared" si="24"/>
        <v>0</v>
      </c>
      <c r="L286" s="962">
        <f t="shared" si="25"/>
        <v>0</v>
      </c>
      <c r="M286" s="962">
        <f t="shared" si="26"/>
        <v>0</v>
      </c>
      <c r="N286" s="962">
        <f t="shared" si="27"/>
        <v>0</v>
      </c>
    </row>
    <row r="287" spans="1:14" ht="15.6">
      <c r="A287" s="956"/>
      <c r="B287" s="956"/>
      <c r="C287" s="956"/>
      <c r="D287" s="958">
        <v>2797</v>
      </c>
      <c r="E287" s="959">
        <v>44962</v>
      </c>
      <c r="F287" s="966">
        <v>561505</v>
      </c>
      <c r="G287" s="956">
        <v>30</v>
      </c>
      <c r="H287" s="961">
        <f t="shared" si="21"/>
        <v>44992</v>
      </c>
      <c r="I287" s="962">
        <f t="shared" si="22"/>
        <v>25</v>
      </c>
      <c r="J287" s="962">
        <f t="shared" si="23"/>
        <v>561505</v>
      </c>
      <c r="K287" s="962">
        <f t="shared" si="24"/>
        <v>0</v>
      </c>
      <c r="L287" s="962">
        <f t="shared" si="25"/>
        <v>0</v>
      </c>
      <c r="M287" s="962">
        <f t="shared" si="26"/>
        <v>0</v>
      </c>
      <c r="N287" s="962">
        <f t="shared" si="27"/>
        <v>0</v>
      </c>
    </row>
    <row r="288" spans="1:14" ht="15.6">
      <c r="A288" s="956"/>
      <c r="B288" s="956"/>
      <c r="C288" s="956"/>
      <c r="D288" s="958">
        <v>2801</v>
      </c>
      <c r="E288" s="959">
        <v>44962</v>
      </c>
      <c r="F288" s="966">
        <v>312195</v>
      </c>
      <c r="G288" s="956">
        <v>30</v>
      </c>
      <c r="H288" s="961">
        <f t="shared" si="21"/>
        <v>44992</v>
      </c>
      <c r="I288" s="962">
        <f t="shared" si="22"/>
        <v>25</v>
      </c>
      <c r="J288" s="962">
        <f t="shared" si="23"/>
        <v>312195</v>
      </c>
      <c r="K288" s="962">
        <f t="shared" si="24"/>
        <v>0</v>
      </c>
      <c r="L288" s="962">
        <f t="shared" si="25"/>
        <v>0</v>
      </c>
      <c r="M288" s="962">
        <f t="shared" si="26"/>
        <v>0</v>
      </c>
      <c r="N288" s="962">
        <f t="shared" si="27"/>
        <v>0</v>
      </c>
    </row>
    <row r="289" spans="1:14" ht="15.6">
      <c r="A289" s="956"/>
      <c r="B289" s="956"/>
      <c r="C289" s="956"/>
      <c r="D289" s="958">
        <v>2815</v>
      </c>
      <c r="E289" s="959">
        <v>44963</v>
      </c>
      <c r="F289" s="966">
        <v>205455</v>
      </c>
      <c r="G289" s="956">
        <v>30</v>
      </c>
      <c r="H289" s="961">
        <f t="shared" si="21"/>
        <v>44993</v>
      </c>
      <c r="I289" s="962">
        <f t="shared" si="22"/>
        <v>24</v>
      </c>
      <c r="J289" s="962">
        <f t="shared" si="23"/>
        <v>205455</v>
      </c>
      <c r="K289" s="962">
        <f t="shared" si="24"/>
        <v>0</v>
      </c>
      <c r="L289" s="962">
        <f t="shared" si="25"/>
        <v>0</v>
      </c>
      <c r="M289" s="962">
        <f t="shared" si="26"/>
        <v>0</v>
      </c>
      <c r="N289" s="962">
        <f t="shared" si="27"/>
        <v>0</v>
      </c>
    </row>
    <row r="290" spans="1:14" ht="15.6">
      <c r="A290" s="956"/>
      <c r="B290" s="956"/>
      <c r="C290" s="956"/>
      <c r="D290" s="958">
        <v>2823</v>
      </c>
      <c r="E290" s="959">
        <v>44964</v>
      </c>
      <c r="F290" s="966">
        <v>255545</v>
      </c>
      <c r="G290" s="956">
        <v>30</v>
      </c>
      <c r="H290" s="961">
        <f t="shared" si="21"/>
        <v>44994</v>
      </c>
      <c r="I290" s="962">
        <f t="shared" si="22"/>
        <v>23</v>
      </c>
      <c r="J290" s="962">
        <f t="shared" si="23"/>
        <v>255545</v>
      </c>
      <c r="K290" s="962">
        <f t="shared" si="24"/>
        <v>0</v>
      </c>
      <c r="L290" s="962">
        <f t="shared" si="25"/>
        <v>0</v>
      </c>
      <c r="M290" s="962">
        <f t="shared" si="26"/>
        <v>0</v>
      </c>
      <c r="N290" s="962">
        <f t="shared" si="27"/>
        <v>0</v>
      </c>
    </row>
    <row r="291" spans="1:14" ht="15.6">
      <c r="A291" s="956"/>
      <c r="B291" s="956"/>
      <c r="C291" s="956"/>
      <c r="D291" s="958">
        <v>2854</v>
      </c>
      <c r="E291" s="959">
        <v>44967</v>
      </c>
      <c r="F291" s="966">
        <v>344477</v>
      </c>
      <c r="G291" s="956">
        <v>30</v>
      </c>
      <c r="H291" s="961">
        <f t="shared" si="21"/>
        <v>44997</v>
      </c>
      <c r="I291" s="962">
        <f t="shared" si="22"/>
        <v>20</v>
      </c>
      <c r="J291" s="962">
        <f t="shared" si="23"/>
        <v>344477</v>
      </c>
      <c r="K291" s="962">
        <f t="shared" si="24"/>
        <v>0</v>
      </c>
      <c r="L291" s="962">
        <f t="shared" si="25"/>
        <v>0</v>
      </c>
      <c r="M291" s="962">
        <f t="shared" si="26"/>
        <v>0</v>
      </c>
      <c r="N291" s="962">
        <f t="shared" si="27"/>
        <v>0</v>
      </c>
    </row>
    <row r="292" spans="1:14" ht="15.6">
      <c r="A292" s="956"/>
      <c r="B292" s="956"/>
      <c r="C292" s="956"/>
      <c r="D292" s="958">
        <v>2855</v>
      </c>
      <c r="E292" s="959">
        <v>44967</v>
      </c>
      <c r="F292" s="966">
        <v>313223</v>
      </c>
      <c r="G292" s="956">
        <v>30</v>
      </c>
      <c r="H292" s="961">
        <f t="shared" si="21"/>
        <v>44997</v>
      </c>
      <c r="I292" s="962">
        <f t="shared" si="22"/>
        <v>20</v>
      </c>
      <c r="J292" s="962">
        <f t="shared" si="23"/>
        <v>313223</v>
      </c>
      <c r="K292" s="962">
        <f t="shared" si="24"/>
        <v>0</v>
      </c>
      <c r="L292" s="962">
        <f t="shared" si="25"/>
        <v>0</v>
      </c>
      <c r="M292" s="962">
        <f t="shared" si="26"/>
        <v>0</v>
      </c>
      <c r="N292" s="962">
        <f t="shared" si="27"/>
        <v>0</v>
      </c>
    </row>
    <row r="293" spans="1:14" ht="15.6">
      <c r="A293" s="956"/>
      <c r="B293" s="956"/>
      <c r="C293" s="956"/>
      <c r="D293" s="958">
        <v>2863</v>
      </c>
      <c r="E293" s="959">
        <v>44967</v>
      </c>
      <c r="F293" s="966">
        <v>232685</v>
      </c>
      <c r="G293" s="956">
        <v>30</v>
      </c>
      <c r="H293" s="961">
        <f t="shared" si="21"/>
        <v>44997</v>
      </c>
      <c r="I293" s="962">
        <f t="shared" si="22"/>
        <v>20</v>
      </c>
      <c r="J293" s="962">
        <f t="shared" si="23"/>
        <v>232685</v>
      </c>
      <c r="K293" s="962">
        <f t="shared" si="24"/>
        <v>0</v>
      </c>
      <c r="L293" s="962">
        <f t="shared" si="25"/>
        <v>0</v>
      </c>
      <c r="M293" s="962">
        <f t="shared" si="26"/>
        <v>0</v>
      </c>
      <c r="N293" s="962">
        <f t="shared" si="27"/>
        <v>0</v>
      </c>
    </row>
    <row r="294" spans="1:14" ht="15.6">
      <c r="A294" s="956"/>
      <c r="B294" s="956"/>
      <c r="C294" s="956"/>
      <c r="D294" s="958">
        <v>2865</v>
      </c>
      <c r="E294" s="959">
        <v>44967</v>
      </c>
      <c r="F294" s="966">
        <v>546521</v>
      </c>
      <c r="G294" s="956">
        <v>30</v>
      </c>
      <c r="H294" s="961">
        <f t="shared" ref="H294:H372" si="28">+E294+G294</f>
        <v>44997</v>
      </c>
      <c r="I294" s="962">
        <f t="shared" ref="I294:I372" si="29">+$Q$1-H294+1</f>
        <v>20</v>
      </c>
      <c r="J294" s="962">
        <f t="shared" ref="J294:J372" si="30">IF(I294&lt;=30,F294,0)</f>
        <v>546521</v>
      </c>
      <c r="K294" s="962">
        <f t="shared" ref="K294:K372" si="31">IF(I294&lt;=30,0,IF(I294&gt;60,0,F294))</f>
        <v>0</v>
      </c>
      <c r="L294" s="962">
        <f t="shared" ref="L294:L372" si="32">IF(I294&lt;=60,0,IF(I294&gt;90,0,F294))</f>
        <v>0</v>
      </c>
      <c r="M294" s="962">
        <f t="shared" ref="M294:M372" si="33">IF(I294&lt;=90,0,IF(I294&gt;120,0,F294))</f>
        <v>0</v>
      </c>
      <c r="N294" s="962">
        <f t="shared" ref="N294:N372" si="34">IF(I294&lt;=120,0,F294)</f>
        <v>0</v>
      </c>
    </row>
    <row r="295" spans="1:14" ht="15.6">
      <c r="A295" s="956"/>
      <c r="B295" s="956"/>
      <c r="C295" s="956"/>
      <c r="D295" s="958">
        <v>2870</v>
      </c>
      <c r="E295" s="959">
        <v>44968</v>
      </c>
      <c r="F295" s="966">
        <v>241764</v>
      </c>
      <c r="G295" s="956">
        <v>30</v>
      </c>
      <c r="H295" s="961">
        <f t="shared" si="28"/>
        <v>44998</v>
      </c>
      <c r="I295" s="962">
        <f t="shared" si="29"/>
        <v>19</v>
      </c>
      <c r="J295" s="962">
        <f t="shared" si="30"/>
        <v>241764</v>
      </c>
      <c r="K295" s="962">
        <f t="shared" si="31"/>
        <v>0</v>
      </c>
      <c r="L295" s="962">
        <f t="shared" si="32"/>
        <v>0</v>
      </c>
      <c r="M295" s="962">
        <f t="shared" si="33"/>
        <v>0</v>
      </c>
      <c r="N295" s="962">
        <f t="shared" si="34"/>
        <v>0</v>
      </c>
    </row>
    <row r="296" spans="1:14" ht="15.6">
      <c r="A296" s="956"/>
      <c r="B296" s="956"/>
      <c r="C296" s="956"/>
      <c r="D296" s="958">
        <v>2874</v>
      </c>
      <c r="E296" s="959">
        <v>44969</v>
      </c>
      <c r="F296" s="966">
        <v>244074</v>
      </c>
      <c r="G296" s="956">
        <v>30</v>
      </c>
      <c r="H296" s="961">
        <f t="shared" si="28"/>
        <v>44999</v>
      </c>
      <c r="I296" s="962">
        <f t="shared" si="29"/>
        <v>18</v>
      </c>
      <c r="J296" s="962">
        <f t="shared" si="30"/>
        <v>244074</v>
      </c>
      <c r="K296" s="962">
        <f t="shared" si="31"/>
        <v>0</v>
      </c>
      <c r="L296" s="962">
        <f t="shared" si="32"/>
        <v>0</v>
      </c>
      <c r="M296" s="962">
        <f t="shared" si="33"/>
        <v>0</v>
      </c>
      <c r="N296" s="962">
        <f t="shared" si="34"/>
        <v>0</v>
      </c>
    </row>
    <row r="297" spans="1:14" ht="15.6">
      <c r="A297" s="956"/>
      <c r="B297" s="956"/>
      <c r="C297" s="956"/>
      <c r="D297" s="958">
        <v>2879</v>
      </c>
      <c r="E297" s="959">
        <v>44969</v>
      </c>
      <c r="F297" s="966">
        <v>210034</v>
      </c>
      <c r="G297" s="956">
        <v>30</v>
      </c>
      <c r="H297" s="961">
        <f t="shared" si="28"/>
        <v>44999</v>
      </c>
      <c r="I297" s="962">
        <f t="shared" si="29"/>
        <v>18</v>
      </c>
      <c r="J297" s="962">
        <f t="shared" si="30"/>
        <v>210034</v>
      </c>
      <c r="K297" s="962">
        <f t="shared" si="31"/>
        <v>0</v>
      </c>
      <c r="L297" s="962">
        <f t="shared" si="32"/>
        <v>0</v>
      </c>
      <c r="M297" s="962">
        <f t="shared" si="33"/>
        <v>0</v>
      </c>
      <c r="N297" s="962">
        <f t="shared" si="34"/>
        <v>0</v>
      </c>
    </row>
    <row r="298" spans="1:14" ht="15.6">
      <c r="A298" s="956"/>
      <c r="B298" s="956"/>
      <c r="C298" s="956"/>
      <c r="D298" s="958">
        <v>2885</v>
      </c>
      <c r="E298" s="959">
        <v>44970</v>
      </c>
      <c r="F298" s="966">
        <v>265269</v>
      </c>
      <c r="G298" s="956">
        <v>30</v>
      </c>
      <c r="H298" s="961">
        <f t="shared" si="28"/>
        <v>45000</v>
      </c>
      <c r="I298" s="962">
        <f t="shared" si="29"/>
        <v>17</v>
      </c>
      <c r="J298" s="962">
        <f t="shared" si="30"/>
        <v>265269</v>
      </c>
      <c r="K298" s="962">
        <f t="shared" si="31"/>
        <v>0</v>
      </c>
      <c r="L298" s="962">
        <f t="shared" si="32"/>
        <v>0</v>
      </c>
      <c r="M298" s="962">
        <f t="shared" si="33"/>
        <v>0</v>
      </c>
      <c r="N298" s="962">
        <f t="shared" si="34"/>
        <v>0</v>
      </c>
    </row>
    <row r="299" spans="1:14" ht="15.6">
      <c r="A299" s="956"/>
      <c r="B299" s="956"/>
      <c r="C299" s="956"/>
      <c r="D299" s="958">
        <v>2887</v>
      </c>
      <c r="E299" s="959">
        <v>44970</v>
      </c>
      <c r="F299" s="966">
        <v>217385</v>
      </c>
      <c r="G299" s="956">
        <v>30</v>
      </c>
      <c r="H299" s="961">
        <f t="shared" si="28"/>
        <v>45000</v>
      </c>
      <c r="I299" s="962">
        <f t="shared" si="29"/>
        <v>17</v>
      </c>
      <c r="J299" s="962">
        <f t="shared" si="30"/>
        <v>217385</v>
      </c>
      <c r="K299" s="962">
        <f t="shared" si="31"/>
        <v>0</v>
      </c>
      <c r="L299" s="962">
        <f t="shared" si="32"/>
        <v>0</v>
      </c>
      <c r="M299" s="962">
        <f t="shared" si="33"/>
        <v>0</v>
      </c>
      <c r="N299" s="962">
        <f t="shared" si="34"/>
        <v>0</v>
      </c>
    </row>
    <row r="300" spans="1:14" ht="15.6">
      <c r="A300" s="956"/>
      <c r="B300" s="956"/>
      <c r="C300" s="956"/>
      <c r="D300" s="958">
        <v>2890</v>
      </c>
      <c r="E300" s="959">
        <v>44971</v>
      </c>
      <c r="F300" s="966">
        <v>289949</v>
      </c>
      <c r="G300" s="956">
        <v>30</v>
      </c>
      <c r="H300" s="961">
        <f t="shared" si="28"/>
        <v>45001</v>
      </c>
      <c r="I300" s="962">
        <f t="shared" si="29"/>
        <v>16</v>
      </c>
      <c r="J300" s="962">
        <f t="shared" si="30"/>
        <v>289949</v>
      </c>
      <c r="K300" s="962">
        <f t="shared" si="31"/>
        <v>0</v>
      </c>
      <c r="L300" s="962">
        <f t="shared" si="32"/>
        <v>0</v>
      </c>
      <c r="M300" s="962">
        <f t="shared" si="33"/>
        <v>0</v>
      </c>
      <c r="N300" s="962">
        <f t="shared" si="34"/>
        <v>0</v>
      </c>
    </row>
    <row r="301" spans="1:14" ht="15.6">
      <c r="A301" s="956"/>
      <c r="B301" s="956"/>
      <c r="C301" s="956"/>
      <c r="D301" s="958">
        <v>2893</v>
      </c>
      <c r="E301" s="959">
        <v>44971</v>
      </c>
      <c r="F301" s="966">
        <v>217841</v>
      </c>
      <c r="G301" s="956">
        <v>30</v>
      </c>
      <c r="H301" s="961">
        <f t="shared" si="28"/>
        <v>45001</v>
      </c>
      <c r="I301" s="962">
        <f t="shared" si="29"/>
        <v>16</v>
      </c>
      <c r="J301" s="962">
        <f t="shared" si="30"/>
        <v>217841</v>
      </c>
      <c r="K301" s="962">
        <f t="shared" si="31"/>
        <v>0</v>
      </c>
      <c r="L301" s="962">
        <f t="shared" si="32"/>
        <v>0</v>
      </c>
      <c r="M301" s="962">
        <f t="shared" si="33"/>
        <v>0</v>
      </c>
      <c r="N301" s="962">
        <f t="shared" si="34"/>
        <v>0</v>
      </c>
    </row>
    <row r="302" spans="1:14" ht="15.6">
      <c r="A302" s="956"/>
      <c r="B302" s="956"/>
      <c r="C302" s="956"/>
      <c r="D302" s="958">
        <v>2897</v>
      </c>
      <c r="E302" s="959">
        <v>44971</v>
      </c>
      <c r="F302" s="966">
        <v>162955</v>
      </c>
      <c r="G302" s="956">
        <v>30</v>
      </c>
      <c r="H302" s="961">
        <f t="shared" si="28"/>
        <v>45001</v>
      </c>
      <c r="I302" s="962">
        <f t="shared" si="29"/>
        <v>16</v>
      </c>
      <c r="J302" s="962">
        <f t="shared" si="30"/>
        <v>162955</v>
      </c>
      <c r="K302" s="962">
        <f t="shared" si="31"/>
        <v>0</v>
      </c>
      <c r="L302" s="962">
        <f t="shared" si="32"/>
        <v>0</v>
      </c>
      <c r="M302" s="962">
        <f t="shared" si="33"/>
        <v>0</v>
      </c>
      <c r="N302" s="962">
        <f t="shared" si="34"/>
        <v>0</v>
      </c>
    </row>
    <row r="303" spans="1:14" ht="15.6">
      <c r="A303" s="956"/>
      <c r="B303" s="956"/>
      <c r="C303" s="956"/>
      <c r="D303" s="958">
        <v>2898</v>
      </c>
      <c r="E303" s="959">
        <v>44971</v>
      </c>
      <c r="F303" s="966">
        <v>87564</v>
      </c>
      <c r="G303" s="956">
        <v>30</v>
      </c>
      <c r="H303" s="961">
        <f t="shared" si="28"/>
        <v>45001</v>
      </c>
      <c r="I303" s="962">
        <f t="shared" si="29"/>
        <v>16</v>
      </c>
      <c r="J303" s="962">
        <f t="shared" si="30"/>
        <v>87564</v>
      </c>
      <c r="K303" s="962">
        <f t="shared" si="31"/>
        <v>0</v>
      </c>
      <c r="L303" s="962">
        <f t="shared" si="32"/>
        <v>0</v>
      </c>
      <c r="M303" s="962">
        <f t="shared" si="33"/>
        <v>0</v>
      </c>
      <c r="N303" s="962">
        <f t="shared" si="34"/>
        <v>0</v>
      </c>
    </row>
    <row r="304" spans="1:14" ht="15.6">
      <c r="A304" s="956"/>
      <c r="B304" s="956"/>
      <c r="C304" s="956"/>
      <c r="D304" s="958">
        <v>2914</v>
      </c>
      <c r="E304" s="959">
        <v>44973</v>
      </c>
      <c r="F304" s="966">
        <v>215986</v>
      </c>
      <c r="G304" s="956">
        <v>30</v>
      </c>
      <c r="H304" s="961">
        <f t="shared" si="28"/>
        <v>45003</v>
      </c>
      <c r="I304" s="962">
        <f t="shared" si="29"/>
        <v>14</v>
      </c>
      <c r="J304" s="962">
        <f t="shared" si="30"/>
        <v>215986</v>
      </c>
      <c r="K304" s="962">
        <f t="shared" si="31"/>
        <v>0</v>
      </c>
      <c r="L304" s="962">
        <f t="shared" si="32"/>
        <v>0</v>
      </c>
      <c r="M304" s="962">
        <f t="shared" si="33"/>
        <v>0</v>
      </c>
      <c r="N304" s="962">
        <f t="shared" si="34"/>
        <v>0</v>
      </c>
    </row>
    <row r="305" spans="1:14" ht="15.6">
      <c r="A305" s="956"/>
      <c r="B305" s="956"/>
      <c r="C305" s="956"/>
      <c r="D305" s="958">
        <v>2920</v>
      </c>
      <c r="E305" s="959">
        <v>44974</v>
      </c>
      <c r="F305" s="966">
        <v>574777</v>
      </c>
      <c r="G305" s="956">
        <v>30</v>
      </c>
      <c r="H305" s="961">
        <f t="shared" si="28"/>
        <v>45004</v>
      </c>
      <c r="I305" s="962">
        <f t="shared" si="29"/>
        <v>13</v>
      </c>
      <c r="J305" s="962">
        <f t="shared" si="30"/>
        <v>574777</v>
      </c>
      <c r="K305" s="962">
        <f t="shared" si="31"/>
        <v>0</v>
      </c>
      <c r="L305" s="962">
        <f t="shared" si="32"/>
        <v>0</v>
      </c>
      <c r="M305" s="962">
        <f t="shared" si="33"/>
        <v>0</v>
      </c>
      <c r="N305" s="962">
        <f t="shared" si="34"/>
        <v>0</v>
      </c>
    </row>
    <row r="306" spans="1:14" ht="15.6">
      <c r="A306" s="956"/>
      <c r="B306" s="956"/>
      <c r="C306" s="956"/>
      <c r="D306" s="958">
        <v>2926</v>
      </c>
      <c r="E306" s="959">
        <v>44974</v>
      </c>
      <c r="F306" s="966">
        <v>300958</v>
      </c>
      <c r="G306" s="956">
        <v>30</v>
      </c>
      <c r="H306" s="961">
        <f t="shared" si="28"/>
        <v>45004</v>
      </c>
      <c r="I306" s="962">
        <f t="shared" si="29"/>
        <v>13</v>
      </c>
      <c r="J306" s="962">
        <f t="shared" si="30"/>
        <v>300958</v>
      </c>
      <c r="K306" s="962">
        <f t="shared" si="31"/>
        <v>0</v>
      </c>
      <c r="L306" s="962">
        <f t="shared" si="32"/>
        <v>0</v>
      </c>
      <c r="M306" s="962">
        <f t="shared" si="33"/>
        <v>0</v>
      </c>
      <c r="N306" s="962">
        <f t="shared" si="34"/>
        <v>0</v>
      </c>
    </row>
    <row r="307" spans="1:14" ht="15.6">
      <c r="A307" s="956"/>
      <c r="B307" s="956"/>
      <c r="C307" s="956"/>
      <c r="D307" s="958">
        <v>2928</v>
      </c>
      <c r="E307" s="959">
        <v>44974</v>
      </c>
      <c r="F307" s="966">
        <v>555468</v>
      </c>
      <c r="G307" s="956">
        <v>30</v>
      </c>
      <c r="H307" s="961">
        <f t="shared" si="28"/>
        <v>45004</v>
      </c>
      <c r="I307" s="962">
        <f t="shared" si="29"/>
        <v>13</v>
      </c>
      <c r="J307" s="962">
        <f t="shared" si="30"/>
        <v>555468</v>
      </c>
      <c r="K307" s="962">
        <f t="shared" si="31"/>
        <v>0</v>
      </c>
      <c r="L307" s="962">
        <f t="shared" si="32"/>
        <v>0</v>
      </c>
      <c r="M307" s="962">
        <f t="shared" si="33"/>
        <v>0</v>
      </c>
      <c r="N307" s="962">
        <f t="shared" si="34"/>
        <v>0</v>
      </c>
    </row>
    <row r="308" spans="1:14" ht="15.6">
      <c r="A308" s="956"/>
      <c r="B308" s="956"/>
      <c r="C308" s="956"/>
      <c r="D308" s="958">
        <v>2949</v>
      </c>
      <c r="E308" s="959">
        <v>44976</v>
      </c>
      <c r="F308" s="966">
        <v>209841</v>
      </c>
      <c r="G308" s="956">
        <v>30</v>
      </c>
      <c r="H308" s="961">
        <f t="shared" si="28"/>
        <v>45006</v>
      </c>
      <c r="I308" s="962">
        <f t="shared" si="29"/>
        <v>11</v>
      </c>
      <c r="J308" s="962">
        <f t="shared" si="30"/>
        <v>209841</v>
      </c>
      <c r="K308" s="962">
        <f t="shared" si="31"/>
        <v>0</v>
      </c>
      <c r="L308" s="962">
        <f t="shared" si="32"/>
        <v>0</v>
      </c>
      <c r="M308" s="962">
        <f t="shared" si="33"/>
        <v>0</v>
      </c>
      <c r="N308" s="962">
        <f t="shared" si="34"/>
        <v>0</v>
      </c>
    </row>
    <row r="309" spans="1:14" ht="15.6">
      <c r="A309" s="956"/>
      <c r="B309" s="956"/>
      <c r="C309" s="956"/>
      <c r="D309" s="958">
        <v>2964</v>
      </c>
      <c r="E309" s="959">
        <v>44978</v>
      </c>
      <c r="F309" s="966">
        <v>60433</v>
      </c>
      <c r="G309" s="956">
        <v>30</v>
      </c>
      <c r="H309" s="961">
        <f t="shared" si="28"/>
        <v>45008</v>
      </c>
      <c r="I309" s="962">
        <f t="shared" si="29"/>
        <v>9</v>
      </c>
      <c r="J309" s="962">
        <f t="shared" si="30"/>
        <v>60433</v>
      </c>
      <c r="K309" s="962">
        <f t="shared" si="31"/>
        <v>0</v>
      </c>
      <c r="L309" s="962">
        <f t="shared" si="32"/>
        <v>0</v>
      </c>
      <c r="M309" s="962">
        <f t="shared" si="33"/>
        <v>0</v>
      </c>
      <c r="N309" s="962">
        <f t="shared" si="34"/>
        <v>0</v>
      </c>
    </row>
    <row r="310" spans="1:14" ht="15.6">
      <c r="A310" s="956"/>
      <c r="B310" s="956"/>
      <c r="C310" s="956"/>
      <c r="D310" s="958">
        <v>2965</v>
      </c>
      <c r="E310" s="959">
        <v>44978</v>
      </c>
      <c r="F310" s="966">
        <v>76508</v>
      </c>
      <c r="G310" s="956">
        <v>30</v>
      </c>
      <c r="H310" s="961">
        <f t="shared" si="28"/>
        <v>45008</v>
      </c>
      <c r="I310" s="962">
        <f t="shared" si="29"/>
        <v>9</v>
      </c>
      <c r="J310" s="962">
        <f t="shared" si="30"/>
        <v>76508</v>
      </c>
      <c r="K310" s="962">
        <f t="shared" si="31"/>
        <v>0</v>
      </c>
      <c r="L310" s="962">
        <f t="shared" si="32"/>
        <v>0</v>
      </c>
      <c r="M310" s="962">
        <f t="shared" si="33"/>
        <v>0</v>
      </c>
      <c r="N310" s="962">
        <f t="shared" si="34"/>
        <v>0</v>
      </c>
    </row>
    <row r="311" spans="1:14" ht="15.6">
      <c r="A311" s="956"/>
      <c r="B311" s="956"/>
      <c r="C311" s="956"/>
      <c r="D311" s="958">
        <v>2966</v>
      </c>
      <c r="E311" s="959">
        <v>44978</v>
      </c>
      <c r="F311" s="966">
        <v>174434</v>
      </c>
      <c r="G311" s="956">
        <v>30</v>
      </c>
      <c r="H311" s="961">
        <f t="shared" si="28"/>
        <v>45008</v>
      </c>
      <c r="I311" s="962">
        <f t="shared" si="29"/>
        <v>9</v>
      </c>
      <c r="J311" s="962">
        <f t="shared" si="30"/>
        <v>174434</v>
      </c>
      <c r="K311" s="962">
        <f t="shared" si="31"/>
        <v>0</v>
      </c>
      <c r="L311" s="962">
        <f t="shared" si="32"/>
        <v>0</v>
      </c>
      <c r="M311" s="962">
        <f t="shared" si="33"/>
        <v>0</v>
      </c>
      <c r="N311" s="962">
        <f t="shared" si="34"/>
        <v>0</v>
      </c>
    </row>
    <row r="312" spans="1:14" ht="15.6">
      <c r="A312" s="956"/>
      <c r="B312" s="956"/>
      <c r="C312" s="956"/>
      <c r="D312" s="958">
        <v>2969</v>
      </c>
      <c r="E312" s="959">
        <v>44978</v>
      </c>
      <c r="F312" s="966">
        <v>231029</v>
      </c>
      <c r="G312" s="956">
        <v>30</v>
      </c>
      <c r="H312" s="961">
        <f t="shared" si="28"/>
        <v>45008</v>
      </c>
      <c r="I312" s="962">
        <f t="shared" si="29"/>
        <v>9</v>
      </c>
      <c r="J312" s="962">
        <f t="shared" si="30"/>
        <v>231029</v>
      </c>
      <c r="K312" s="962">
        <f t="shared" si="31"/>
        <v>0</v>
      </c>
      <c r="L312" s="962">
        <f t="shared" si="32"/>
        <v>0</v>
      </c>
      <c r="M312" s="962">
        <f t="shared" si="33"/>
        <v>0</v>
      </c>
      <c r="N312" s="962">
        <f t="shared" si="34"/>
        <v>0</v>
      </c>
    </row>
    <row r="313" spans="1:14" ht="15.6">
      <c r="A313" s="956"/>
      <c r="B313" s="956"/>
      <c r="C313" s="956"/>
      <c r="D313" s="958">
        <v>2981</v>
      </c>
      <c r="E313" s="959">
        <v>44979</v>
      </c>
      <c r="F313" s="966">
        <v>213296</v>
      </c>
      <c r="G313" s="956">
        <v>30</v>
      </c>
      <c r="H313" s="961">
        <f t="shared" si="28"/>
        <v>45009</v>
      </c>
      <c r="I313" s="962">
        <f t="shared" si="29"/>
        <v>8</v>
      </c>
      <c r="J313" s="962">
        <f t="shared" si="30"/>
        <v>213296</v>
      </c>
      <c r="K313" s="962">
        <f t="shared" si="31"/>
        <v>0</v>
      </c>
      <c r="L313" s="962">
        <f t="shared" si="32"/>
        <v>0</v>
      </c>
      <c r="M313" s="962">
        <f t="shared" si="33"/>
        <v>0</v>
      </c>
      <c r="N313" s="962">
        <f t="shared" si="34"/>
        <v>0</v>
      </c>
    </row>
    <row r="314" spans="1:14" ht="15.6">
      <c r="A314" s="956"/>
      <c r="B314" s="956"/>
      <c r="C314" s="956"/>
      <c r="D314" s="958">
        <v>2985</v>
      </c>
      <c r="E314" s="959">
        <v>44980</v>
      </c>
      <c r="F314" s="966">
        <v>534363</v>
      </c>
      <c r="G314" s="956">
        <v>30</v>
      </c>
      <c r="H314" s="961">
        <f t="shared" si="28"/>
        <v>45010</v>
      </c>
      <c r="I314" s="962">
        <f t="shared" si="29"/>
        <v>7</v>
      </c>
      <c r="J314" s="962">
        <f t="shared" si="30"/>
        <v>534363</v>
      </c>
      <c r="K314" s="962">
        <f t="shared" si="31"/>
        <v>0</v>
      </c>
      <c r="L314" s="962">
        <f t="shared" si="32"/>
        <v>0</v>
      </c>
      <c r="M314" s="962">
        <f t="shared" si="33"/>
        <v>0</v>
      </c>
      <c r="N314" s="962">
        <f t="shared" si="34"/>
        <v>0</v>
      </c>
    </row>
    <row r="315" spans="1:14" ht="15.6">
      <c r="A315" s="956"/>
      <c r="B315" s="956"/>
      <c r="C315" s="956"/>
      <c r="D315" s="958">
        <v>2989</v>
      </c>
      <c r="E315" s="959">
        <v>44980</v>
      </c>
      <c r="F315" s="966">
        <v>257262</v>
      </c>
      <c r="G315" s="956">
        <v>30</v>
      </c>
      <c r="H315" s="961">
        <f t="shared" si="28"/>
        <v>45010</v>
      </c>
      <c r="I315" s="962">
        <f t="shared" si="29"/>
        <v>7</v>
      </c>
      <c r="J315" s="962">
        <f t="shared" si="30"/>
        <v>257262</v>
      </c>
      <c r="K315" s="962">
        <f t="shared" si="31"/>
        <v>0</v>
      </c>
      <c r="L315" s="962">
        <f t="shared" si="32"/>
        <v>0</v>
      </c>
      <c r="M315" s="962">
        <f t="shared" si="33"/>
        <v>0</v>
      </c>
      <c r="N315" s="962">
        <f t="shared" si="34"/>
        <v>0</v>
      </c>
    </row>
    <row r="316" spans="1:14" ht="15.6">
      <c r="A316" s="956"/>
      <c r="B316" s="956"/>
      <c r="C316" s="956"/>
      <c r="D316" s="958">
        <v>2992</v>
      </c>
      <c r="E316" s="959">
        <v>44980</v>
      </c>
      <c r="F316" s="966">
        <v>104181</v>
      </c>
      <c r="G316" s="956">
        <v>30</v>
      </c>
      <c r="H316" s="961">
        <f t="shared" si="28"/>
        <v>45010</v>
      </c>
      <c r="I316" s="962">
        <f t="shared" si="29"/>
        <v>7</v>
      </c>
      <c r="J316" s="962">
        <f t="shared" si="30"/>
        <v>104181</v>
      </c>
      <c r="K316" s="962">
        <f t="shared" si="31"/>
        <v>0</v>
      </c>
      <c r="L316" s="962">
        <f t="shared" si="32"/>
        <v>0</v>
      </c>
      <c r="M316" s="962">
        <f t="shared" si="33"/>
        <v>0</v>
      </c>
      <c r="N316" s="962">
        <f t="shared" si="34"/>
        <v>0</v>
      </c>
    </row>
    <row r="317" spans="1:14" ht="15.6">
      <c r="A317" s="956"/>
      <c r="B317" s="956"/>
      <c r="C317" s="956"/>
      <c r="D317" s="958">
        <v>2994</v>
      </c>
      <c r="E317" s="959">
        <v>44980</v>
      </c>
      <c r="F317" s="966">
        <v>72392</v>
      </c>
      <c r="G317" s="956">
        <v>30</v>
      </c>
      <c r="H317" s="961">
        <f t="shared" si="28"/>
        <v>45010</v>
      </c>
      <c r="I317" s="962">
        <f t="shared" si="29"/>
        <v>7</v>
      </c>
      <c r="J317" s="962">
        <f t="shared" si="30"/>
        <v>72392</v>
      </c>
      <c r="K317" s="962">
        <f t="shared" si="31"/>
        <v>0</v>
      </c>
      <c r="L317" s="962">
        <f t="shared" si="32"/>
        <v>0</v>
      </c>
      <c r="M317" s="962">
        <f t="shared" si="33"/>
        <v>0</v>
      </c>
      <c r="N317" s="962">
        <f t="shared" si="34"/>
        <v>0</v>
      </c>
    </row>
    <row r="318" spans="1:14" ht="15.6">
      <c r="A318" s="956"/>
      <c r="B318" s="956"/>
      <c r="C318" s="956"/>
      <c r="D318" s="958">
        <v>2995</v>
      </c>
      <c r="E318" s="959">
        <v>44980</v>
      </c>
      <c r="F318" s="966">
        <v>231583</v>
      </c>
      <c r="G318" s="956">
        <v>30</v>
      </c>
      <c r="H318" s="961">
        <f t="shared" si="28"/>
        <v>45010</v>
      </c>
      <c r="I318" s="962">
        <f t="shared" si="29"/>
        <v>7</v>
      </c>
      <c r="J318" s="962">
        <f t="shared" si="30"/>
        <v>231583</v>
      </c>
      <c r="K318" s="962">
        <f t="shared" si="31"/>
        <v>0</v>
      </c>
      <c r="L318" s="962">
        <f t="shared" si="32"/>
        <v>0</v>
      </c>
      <c r="M318" s="962">
        <f t="shared" si="33"/>
        <v>0</v>
      </c>
      <c r="N318" s="962">
        <f t="shared" si="34"/>
        <v>0</v>
      </c>
    </row>
    <row r="319" spans="1:14" ht="15.6">
      <c r="A319" s="956"/>
      <c r="B319" s="956"/>
      <c r="C319" s="956"/>
      <c r="D319" s="958">
        <v>3003</v>
      </c>
      <c r="E319" s="959">
        <v>44981</v>
      </c>
      <c r="F319" s="966">
        <v>257453</v>
      </c>
      <c r="G319" s="956">
        <v>30</v>
      </c>
      <c r="H319" s="961">
        <f t="shared" si="28"/>
        <v>45011</v>
      </c>
      <c r="I319" s="962">
        <f t="shared" si="29"/>
        <v>6</v>
      </c>
      <c r="J319" s="962">
        <f t="shared" si="30"/>
        <v>257453</v>
      </c>
      <c r="K319" s="962">
        <f t="shared" si="31"/>
        <v>0</v>
      </c>
      <c r="L319" s="962">
        <f t="shared" si="32"/>
        <v>0</v>
      </c>
      <c r="M319" s="962">
        <f t="shared" si="33"/>
        <v>0</v>
      </c>
      <c r="N319" s="962">
        <f t="shared" si="34"/>
        <v>0</v>
      </c>
    </row>
    <row r="320" spans="1:14" ht="15.6">
      <c r="A320" s="956"/>
      <c r="B320" s="956"/>
      <c r="C320" s="956"/>
      <c r="D320" s="958">
        <v>3007</v>
      </c>
      <c r="E320" s="959">
        <v>44982</v>
      </c>
      <c r="F320" s="966">
        <v>215589</v>
      </c>
      <c r="G320" s="956">
        <v>30</v>
      </c>
      <c r="H320" s="961">
        <f t="shared" si="28"/>
        <v>45012</v>
      </c>
      <c r="I320" s="962">
        <f t="shared" si="29"/>
        <v>5</v>
      </c>
      <c r="J320" s="962">
        <f t="shared" si="30"/>
        <v>215589</v>
      </c>
      <c r="K320" s="962">
        <f t="shared" si="31"/>
        <v>0</v>
      </c>
      <c r="L320" s="962">
        <f t="shared" si="32"/>
        <v>0</v>
      </c>
      <c r="M320" s="962">
        <f t="shared" si="33"/>
        <v>0</v>
      </c>
      <c r="N320" s="962">
        <f t="shared" si="34"/>
        <v>0</v>
      </c>
    </row>
    <row r="321" spans="1:14" ht="15.6">
      <c r="A321" s="956"/>
      <c r="B321" s="956"/>
      <c r="C321" s="956"/>
      <c r="D321" s="968">
        <v>3009</v>
      </c>
      <c r="E321" s="969">
        <v>44982</v>
      </c>
      <c r="F321" s="966">
        <v>184628</v>
      </c>
      <c r="G321" s="956">
        <v>30</v>
      </c>
      <c r="H321" s="961">
        <f t="shared" si="28"/>
        <v>45012</v>
      </c>
      <c r="I321" s="962">
        <f t="shared" si="29"/>
        <v>5</v>
      </c>
      <c r="J321" s="962">
        <f t="shared" si="30"/>
        <v>184628</v>
      </c>
      <c r="K321" s="962">
        <f t="shared" si="31"/>
        <v>0</v>
      </c>
      <c r="L321" s="962">
        <f t="shared" si="32"/>
        <v>0</v>
      </c>
      <c r="M321" s="962">
        <f t="shared" si="33"/>
        <v>0</v>
      </c>
      <c r="N321" s="962">
        <f t="shared" si="34"/>
        <v>0</v>
      </c>
    </row>
    <row r="322" spans="1:14" ht="15.6">
      <c r="A322" s="956"/>
      <c r="B322" s="956"/>
      <c r="C322" s="956"/>
      <c r="D322" s="958">
        <v>3011</v>
      </c>
      <c r="E322" s="959">
        <v>44982</v>
      </c>
      <c r="F322" s="966">
        <v>558178</v>
      </c>
      <c r="G322" s="956">
        <v>30</v>
      </c>
      <c r="H322" s="961">
        <f t="shared" si="28"/>
        <v>45012</v>
      </c>
      <c r="I322" s="962">
        <f t="shared" si="29"/>
        <v>5</v>
      </c>
      <c r="J322" s="962">
        <f t="shared" si="30"/>
        <v>558178</v>
      </c>
      <c r="K322" s="962">
        <f t="shared" si="31"/>
        <v>0</v>
      </c>
      <c r="L322" s="962">
        <f t="shared" si="32"/>
        <v>0</v>
      </c>
      <c r="M322" s="962">
        <f t="shared" si="33"/>
        <v>0</v>
      </c>
      <c r="N322" s="962">
        <f t="shared" si="34"/>
        <v>0</v>
      </c>
    </row>
    <row r="323" spans="1:14" ht="15.6">
      <c r="A323" s="956"/>
      <c r="B323" s="956"/>
      <c r="C323" s="956"/>
      <c r="D323" s="958">
        <v>3017</v>
      </c>
      <c r="E323" s="959">
        <v>44984</v>
      </c>
      <c r="F323" s="966">
        <v>226696</v>
      </c>
      <c r="G323" s="956">
        <v>30</v>
      </c>
      <c r="H323" s="961">
        <f t="shared" si="28"/>
        <v>45014</v>
      </c>
      <c r="I323" s="962">
        <f t="shared" si="29"/>
        <v>3</v>
      </c>
      <c r="J323" s="962">
        <f t="shared" si="30"/>
        <v>226696</v>
      </c>
      <c r="K323" s="962">
        <f t="shared" si="31"/>
        <v>0</v>
      </c>
      <c r="L323" s="962">
        <f t="shared" si="32"/>
        <v>0</v>
      </c>
      <c r="M323" s="962">
        <f t="shared" si="33"/>
        <v>0</v>
      </c>
      <c r="N323" s="962">
        <f t="shared" si="34"/>
        <v>0</v>
      </c>
    </row>
    <row r="324" spans="1:14" ht="15.6">
      <c r="A324" s="956"/>
      <c r="B324" s="956"/>
      <c r="C324" s="956"/>
      <c r="D324" s="958">
        <v>3018</v>
      </c>
      <c r="E324" s="959">
        <v>44984</v>
      </c>
      <c r="F324" s="966">
        <v>492184</v>
      </c>
      <c r="G324" s="956">
        <v>30</v>
      </c>
      <c r="H324" s="961">
        <f t="shared" si="28"/>
        <v>45014</v>
      </c>
      <c r="I324" s="962">
        <f t="shared" si="29"/>
        <v>3</v>
      </c>
      <c r="J324" s="962">
        <f t="shared" si="30"/>
        <v>492184</v>
      </c>
      <c r="K324" s="962">
        <f t="shared" si="31"/>
        <v>0</v>
      </c>
      <c r="L324" s="962">
        <f t="shared" si="32"/>
        <v>0</v>
      </c>
      <c r="M324" s="962">
        <f t="shared" si="33"/>
        <v>0</v>
      </c>
      <c r="N324" s="962">
        <f t="shared" si="34"/>
        <v>0</v>
      </c>
    </row>
    <row r="325" spans="1:14" ht="15.6">
      <c r="A325" s="956"/>
      <c r="B325" s="956"/>
      <c r="C325" s="956"/>
      <c r="D325" s="958">
        <v>3030</v>
      </c>
      <c r="E325" s="959">
        <v>44985</v>
      </c>
      <c r="F325" s="966">
        <v>124570</v>
      </c>
      <c r="G325" s="956">
        <v>30</v>
      </c>
      <c r="H325" s="961">
        <f t="shared" si="28"/>
        <v>45015</v>
      </c>
      <c r="I325" s="962">
        <f t="shared" si="29"/>
        <v>2</v>
      </c>
      <c r="J325" s="962">
        <f t="shared" si="30"/>
        <v>124570</v>
      </c>
      <c r="K325" s="962">
        <f t="shared" si="31"/>
        <v>0</v>
      </c>
      <c r="L325" s="962">
        <f t="shared" si="32"/>
        <v>0</v>
      </c>
      <c r="M325" s="962">
        <f t="shared" si="33"/>
        <v>0</v>
      </c>
      <c r="N325" s="962">
        <f t="shared" si="34"/>
        <v>0</v>
      </c>
    </row>
    <row r="326" spans="1:14" ht="15.6">
      <c r="A326" s="956"/>
      <c r="B326" s="956"/>
      <c r="C326" s="956"/>
      <c r="D326" s="958">
        <v>3033</v>
      </c>
      <c r="E326" s="959">
        <v>44986</v>
      </c>
      <c r="F326" s="964">
        <v>259196</v>
      </c>
      <c r="G326" s="956">
        <v>30</v>
      </c>
      <c r="H326" s="961">
        <f t="shared" si="28"/>
        <v>45016</v>
      </c>
      <c r="I326" s="962">
        <f t="shared" si="29"/>
        <v>1</v>
      </c>
      <c r="J326" s="962">
        <f t="shared" si="30"/>
        <v>259196</v>
      </c>
      <c r="K326" s="962">
        <f t="shared" si="31"/>
        <v>0</v>
      </c>
      <c r="L326" s="962">
        <f t="shared" si="32"/>
        <v>0</v>
      </c>
      <c r="M326" s="962">
        <f t="shared" si="33"/>
        <v>0</v>
      </c>
      <c r="N326" s="962">
        <f t="shared" si="34"/>
        <v>0</v>
      </c>
    </row>
    <row r="327" spans="1:14" ht="15.6">
      <c r="A327" s="956"/>
      <c r="B327" s="956"/>
      <c r="C327" s="956"/>
      <c r="D327" s="958">
        <v>3038</v>
      </c>
      <c r="E327" s="959">
        <v>44986</v>
      </c>
      <c r="F327" s="964">
        <v>202347</v>
      </c>
      <c r="G327" s="956">
        <v>30</v>
      </c>
      <c r="H327" s="961">
        <f t="shared" si="28"/>
        <v>45016</v>
      </c>
      <c r="I327" s="962">
        <f t="shared" si="29"/>
        <v>1</v>
      </c>
      <c r="J327" s="962">
        <f t="shared" si="30"/>
        <v>202347</v>
      </c>
      <c r="K327" s="962">
        <f t="shared" si="31"/>
        <v>0</v>
      </c>
      <c r="L327" s="962">
        <f t="shared" si="32"/>
        <v>0</v>
      </c>
      <c r="M327" s="962">
        <f t="shared" si="33"/>
        <v>0</v>
      </c>
      <c r="N327" s="962">
        <f t="shared" si="34"/>
        <v>0</v>
      </c>
    </row>
    <row r="328" spans="1:14" ht="15.6">
      <c r="A328" s="956"/>
      <c r="B328" s="956"/>
      <c r="C328" s="956"/>
      <c r="D328" s="958">
        <v>3045</v>
      </c>
      <c r="E328" s="959">
        <v>44987</v>
      </c>
      <c r="F328" s="964">
        <v>274072</v>
      </c>
      <c r="G328" s="956">
        <v>30</v>
      </c>
      <c r="H328" s="961">
        <f t="shared" si="28"/>
        <v>45017</v>
      </c>
      <c r="I328" s="962">
        <f t="shared" si="29"/>
        <v>0</v>
      </c>
      <c r="J328" s="962">
        <f t="shared" si="30"/>
        <v>274072</v>
      </c>
      <c r="K328" s="962">
        <f t="shared" si="31"/>
        <v>0</v>
      </c>
      <c r="L328" s="962">
        <f t="shared" si="32"/>
        <v>0</v>
      </c>
      <c r="M328" s="962">
        <f t="shared" si="33"/>
        <v>0</v>
      </c>
      <c r="N328" s="962">
        <f t="shared" si="34"/>
        <v>0</v>
      </c>
    </row>
    <row r="329" spans="1:14" ht="15.6">
      <c r="A329" s="956"/>
      <c r="B329" s="956"/>
      <c r="C329" s="956"/>
      <c r="D329" s="958">
        <v>3046</v>
      </c>
      <c r="E329" s="959">
        <v>44987</v>
      </c>
      <c r="F329" s="964">
        <v>537324</v>
      </c>
      <c r="G329" s="956">
        <v>30</v>
      </c>
      <c r="H329" s="961">
        <f t="shared" si="28"/>
        <v>45017</v>
      </c>
      <c r="I329" s="962">
        <f t="shared" si="29"/>
        <v>0</v>
      </c>
      <c r="J329" s="962">
        <f t="shared" si="30"/>
        <v>537324</v>
      </c>
      <c r="K329" s="962">
        <f t="shared" si="31"/>
        <v>0</v>
      </c>
      <c r="L329" s="962">
        <f t="shared" si="32"/>
        <v>0</v>
      </c>
      <c r="M329" s="962">
        <f t="shared" si="33"/>
        <v>0</v>
      </c>
      <c r="N329" s="962">
        <f t="shared" si="34"/>
        <v>0</v>
      </c>
    </row>
    <row r="330" spans="1:14" ht="15.6">
      <c r="A330" s="956"/>
      <c r="B330" s="956"/>
      <c r="C330" s="956"/>
      <c r="D330" s="958">
        <v>3047</v>
      </c>
      <c r="E330" s="959">
        <v>44987</v>
      </c>
      <c r="F330" s="964">
        <v>264651</v>
      </c>
      <c r="G330" s="956">
        <v>30</v>
      </c>
      <c r="H330" s="961">
        <f t="shared" si="28"/>
        <v>45017</v>
      </c>
      <c r="I330" s="962">
        <f t="shared" si="29"/>
        <v>0</v>
      </c>
      <c r="J330" s="962">
        <f t="shared" si="30"/>
        <v>264651</v>
      </c>
      <c r="K330" s="962">
        <f t="shared" si="31"/>
        <v>0</v>
      </c>
      <c r="L330" s="962">
        <f t="shared" si="32"/>
        <v>0</v>
      </c>
      <c r="M330" s="962">
        <f t="shared" si="33"/>
        <v>0</v>
      </c>
      <c r="N330" s="962">
        <f t="shared" si="34"/>
        <v>0</v>
      </c>
    </row>
    <row r="331" spans="1:14" ht="15.6">
      <c r="A331" s="956"/>
      <c r="B331" s="956"/>
      <c r="C331" s="956"/>
      <c r="D331" s="958">
        <v>3050</v>
      </c>
      <c r="E331" s="959">
        <v>44987</v>
      </c>
      <c r="F331" s="964">
        <v>310670</v>
      </c>
      <c r="G331" s="956">
        <v>30</v>
      </c>
      <c r="H331" s="961">
        <f t="shared" si="28"/>
        <v>45017</v>
      </c>
      <c r="I331" s="962">
        <f t="shared" si="29"/>
        <v>0</v>
      </c>
      <c r="J331" s="962">
        <f t="shared" si="30"/>
        <v>310670</v>
      </c>
      <c r="K331" s="962">
        <f t="shared" si="31"/>
        <v>0</v>
      </c>
      <c r="L331" s="962">
        <f t="shared" si="32"/>
        <v>0</v>
      </c>
      <c r="M331" s="962">
        <f t="shared" si="33"/>
        <v>0</v>
      </c>
      <c r="N331" s="962">
        <f t="shared" si="34"/>
        <v>0</v>
      </c>
    </row>
    <row r="332" spans="1:14" ht="15.6">
      <c r="A332" s="956"/>
      <c r="B332" s="956"/>
      <c r="C332" s="956"/>
      <c r="D332" s="958">
        <v>3057</v>
      </c>
      <c r="E332" s="959">
        <v>44988</v>
      </c>
      <c r="F332" s="964">
        <v>171080</v>
      </c>
      <c r="G332" s="956">
        <v>30</v>
      </c>
      <c r="H332" s="961">
        <f t="shared" si="28"/>
        <v>45018</v>
      </c>
      <c r="I332" s="962">
        <f t="shared" si="29"/>
        <v>-1</v>
      </c>
      <c r="J332" s="962">
        <f t="shared" si="30"/>
        <v>171080</v>
      </c>
      <c r="K332" s="962">
        <f t="shared" si="31"/>
        <v>0</v>
      </c>
      <c r="L332" s="962">
        <f t="shared" si="32"/>
        <v>0</v>
      </c>
      <c r="M332" s="962">
        <f t="shared" si="33"/>
        <v>0</v>
      </c>
      <c r="N332" s="962">
        <f t="shared" si="34"/>
        <v>0</v>
      </c>
    </row>
    <row r="333" spans="1:14" ht="15.6">
      <c r="A333" s="956"/>
      <c r="B333" s="956"/>
      <c r="C333" s="956"/>
      <c r="D333" s="958">
        <v>3065</v>
      </c>
      <c r="E333" s="959">
        <v>44989</v>
      </c>
      <c r="F333" s="964">
        <v>194806</v>
      </c>
      <c r="G333" s="956">
        <v>30</v>
      </c>
      <c r="H333" s="961">
        <f t="shared" si="28"/>
        <v>45019</v>
      </c>
      <c r="I333" s="962">
        <f t="shared" si="29"/>
        <v>-2</v>
      </c>
      <c r="J333" s="962">
        <f t="shared" si="30"/>
        <v>194806</v>
      </c>
      <c r="K333" s="962">
        <f t="shared" si="31"/>
        <v>0</v>
      </c>
      <c r="L333" s="962">
        <f t="shared" si="32"/>
        <v>0</v>
      </c>
      <c r="M333" s="962">
        <f t="shared" si="33"/>
        <v>0</v>
      </c>
      <c r="N333" s="962">
        <f t="shared" si="34"/>
        <v>0</v>
      </c>
    </row>
    <row r="334" spans="1:14" ht="15.6">
      <c r="A334" s="956"/>
      <c r="B334" s="956"/>
      <c r="C334" s="956"/>
      <c r="D334" s="958">
        <v>3075</v>
      </c>
      <c r="E334" s="959">
        <v>44990</v>
      </c>
      <c r="F334" s="964">
        <v>183745</v>
      </c>
      <c r="G334" s="956">
        <v>30</v>
      </c>
      <c r="H334" s="961">
        <f t="shared" si="28"/>
        <v>45020</v>
      </c>
      <c r="I334" s="962">
        <f t="shared" si="29"/>
        <v>-3</v>
      </c>
      <c r="J334" s="962">
        <f t="shared" si="30"/>
        <v>183745</v>
      </c>
      <c r="K334" s="962">
        <f t="shared" si="31"/>
        <v>0</v>
      </c>
      <c r="L334" s="962">
        <f t="shared" si="32"/>
        <v>0</v>
      </c>
      <c r="M334" s="962">
        <f t="shared" si="33"/>
        <v>0</v>
      </c>
      <c r="N334" s="962">
        <f t="shared" si="34"/>
        <v>0</v>
      </c>
    </row>
    <row r="335" spans="1:14" ht="15.6">
      <c r="A335" s="956"/>
      <c r="B335" s="956"/>
      <c r="C335" s="956"/>
      <c r="D335" s="958">
        <v>3086</v>
      </c>
      <c r="E335" s="959">
        <v>44991</v>
      </c>
      <c r="F335" s="964">
        <v>214556</v>
      </c>
      <c r="G335" s="956">
        <v>30</v>
      </c>
      <c r="H335" s="961">
        <f t="shared" si="28"/>
        <v>45021</v>
      </c>
      <c r="I335" s="962">
        <f t="shared" si="29"/>
        <v>-4</v>
      </c>
      <c r="J335" s="962">
        <f t="shared" si="30"/>
        <v>214556</v>
      </c>
      <c r="K335" s="962">
        <f t="shared" si="31"/>
        <v>0</v>
      </c>
      <c r="L335" s="962">
        <f t="shared" si="32"/>
        <v>0</v>
      </c>
      <c r="M335" s="962">
        <f t="shared" si="33"/>
        <v>0</v>
      </c>
      <c r="N335" s="962">
        <f t="shared" si="34"/>
        <v>0</v>
      </c>
    </row>
    <row r="336" spans="1:14" ht="15.6">
      <c r="A336" s="956"/>
      <c r="B336" s="956"/>
      <c r="C336" s="956"/>
      <c r="D336" s="958">
        <v>3088</v>
      </c>
      <c r="E336" s="959">
        <v>44991</v>
      </c>
      <c r="F336" s="964">
        <v>613975</v>
      </c>
      <c r="G336" s="956">
        <v>30</v>
      </c>
      <c r="H336" s="961">
        <f t="shared" si="28"/>
        <v>45021</v>
      </c>
      <c r="I336" s="962">
        <f t="shared" si="29"/>
        <v>-4</v>
      </c>
      <c r="J336" s="962">
        <f t="shared" si="30"/>
        <v>613975</v>
      </c>
      <c r="K336" s="962">
        <f t="shared" si="31"/>
        <v>0</v>
      </c>
      <c r="L336" s="962">
        <f t="shared" si="32"/>
        <v>0</v>
      </c>
      <c r="M336" s="962">
        <f t="shared" si="33"/>
        <v>0</v>
      </c>
      <c r="N336" s="962">
        <f t="shared" si="34"/>
        <v>0</v>
      </c>
    </row>
    <row r="337" spans="1:14" ht="15.6">
      <c r="A337" s="956"/>
      <c r="B337" s="956"/>
      <c r="C337" s="956"/>
      <c r="D337" s="958">
        <v>3091</v>
      </c>
      <c r="E337" s="959">
        <v>44993</v>
      </c>
      <c r="F337" s="964">
        <v>48517</v>
      </c>
      <c r="G337" s="956">
        <v>30</v>
      </c>
      <c r="H337" s="961">
        <f t="shared" si="28"/>
        <v>45023</v>
      </c>
      <c r="I337" s="962">
        <f t="shared" si="29"/>
        <v>-6</v>
      </c>
      <c r="J337" s="962">
        <f t="shared" si="30"/>
        <v>48517</v>
      </c>
      <c r="K337" s="962">
        <f t="shared" si="31"/>
        <v>0</v>
      </c>
      <c r="L337" s="962">
        <f t="shared" si="32"/>
        <v>0</v>
      </c>
      <c r="M337" s="962">
        <f t="shared" si="33"/>
        <v>0</v>
      </c>
      <c r="N337" s="962">
        <f t="shared" si="34"/>
        <v>0</v>
      </c>
    </row>
    <row r="338" spans="1:14" ht="15.6">
      <c r="A338" s="956"/>
      <c r="B338" s="956"/>
      <c r="C338" s="956"/>
      <c r="D338" s="958">
        <v>3092</v>
      </c>
      <c r="E338" s="959">
        <v>44993</v>
      </c>
      <c r="F338" s="964">
        <v>322317</v>
      </c>
      <c r="G338" s="956">
        <v>30</v>
      </c>
      <c r="H338" s="961">
        <f t="shared" si="28"/>
        <v>45023</v>
      </c>
      <c r="I338" s="962">
        <f t="shared" si="29"/>
        <v>-6</v>
      </c>
      <c r="J338" s="962">
        <f t="shared" si="30"/>
        <v>322317</v>
      </c>
      <c r="K338" s="962">
        <f t="shared" si="31"/>
        <v>0</v>
      </c>
      <c r="L338" s="962">
        <f t="shared" si="32"/>
        <v>0</v>
      </c>
      <c r="M338" s="962">
        <f t="shared" si="33"/>
        <v>0</v>
      </c>
      <c r="N338" s="962">
        <f t="shared" si="34"/>
        <v>0</v>
      </c>
    </row>
    <row r="339" spans="1:14" ht="15.6">
      <c r="A339" s="956"/>
      <c r="B339" s="956"/>
      <c r="C339" s="956"/>
      <c r="D339" s="958">
        <v>3096</v>
      </c>
      <c r="E339" s="959">
        <v>44994</v>
      </c>
      <c r="F339" s="964">
        <v>195205</v>
      </c>
      <c r="G339" s="956">
        <v>30</v>
      </c>
      <c r="H339" s="961">
        <f t="shared" si="28"/>
        <v>45024</v>
      </c>
      <c r="I339" s="962">
        <f t="shared" si="29"/>
        <v>-7</v>
      </c>
      <c r="J339" s="962">
        <f t="shared" si="30"/>
        <v>195205</v>
      </c>
      <c r="K339" s="962">
        <f t="shared" si="31"/>
        <v>0</v>
      </c>
      <c r="L339" s="962">
        <f t="shared" si="32"/>
        <v>0</v>
      </c>
      <c r="M339" s="962">
        <f t="shared" si="33"/>
        <v>0</v>
      </c>
      <c r="N339" s="962">
        <f t="shared" si="34"/>
        <v>0</v>
      </c>
    </row>
    <row r="340" spans="1:14" ht="15.6">
      <c r="A340" s="956"/>
      <c r="B340" s="956"/>
      <c r="C340" s="956"/>
      <c r="D340" s="958">
        <v>3098</v>
      </c>
      <c r="E340" s="959">
        <v>44994</v>
      </c>
      <c r="F340" s="964">
        <v>541372</v>
      </c>
      <c r="G340" s="956">
        <v>30</v>
      </c>
      <c r="H340" s="961">
        <f t="shared" si="28"/>
        <v>45024</v>
      </c>
      <c r="I340" s="962">
        <f t="shared" si="29"/>
        <v>-7</v>
      </c>
      <c r="J340" s="962">
        <f t="shared" si="30"/>
        <v>541372</v>
      </c>
      <c r="K340" s="962">
        <f t="shared" si="31"/>
        <v>0</v>
      </c>
      <c r="L340" s="962">
        <f t="shared" si="32"/>
        <v>0</v>
      </c>
      <c r="M340" s="962">
        <f t="shared" si="33"/>
        <v>0</v>
      </c>
      <c r="N340" s="962">
        <f t="shared" si="34"/>
        <v>0</v>
      </c>
    </row>
    <row r="341" spans="1:14" ht="15.6">
      <c r="A341" s="956"/>
      <c r="B341" s="956"/>
      <c r="C341" s="956"/>
      <c r="D341" s="958">
        <v>3101</v>
      </c>
      <c r="E341" s="959">
        <v>44994</v>
      </c>
      <c r="F341" s="964">
        <v>235346</v>
      </c>
      <c r="G341" s="956">
        <v>30</v>
      </c>
      <c r="H341" s="961">
        <f t="shared" si="28"/>
        <v>45024</v>
      </c>
      <c r="I341" s="962">
        <f t="shared" si="29"/>
        <v>-7</v>
      </c>
      <c r="J341" s="962">
        <f t="shared" si="30"/>
        <v>235346</v>
      </c>
      <c r="K341" s="962">
        <f t="shared" si="31"/>
        <v>0</v>
      </c>
      <c r="L341" s="962">
        <f t="shared" si="32"/>
        <v>0</v>
      </c>
      <c r="M341" s="962">
        <f t="shared" si="33"/>
        <v>0</v>
      </c>
      <c r="N341" s="962">
        <f t="shared" si="34"/>
        <v>0</v>
      </c>
    </row>
    <row r="342" spans="1:14" ht="15.6">
      <c r="A342" s="956"/>
      <c r="B342" s="956"/>
      <c r="C342" s="956"/>
      <c r="D342" s="958">
        <v>3104</v>
      </c>
      <c r="E342" s="959">
        <v>44995</v>
      </c>
      <c r="F342" s="964">
        <v>170479</v>
      </c>
      <c r="G342" s="956">
        <v>30</v>
      </c>
      <c r="H342" s="961">
        <f t="shared" si="28"/>
        <v>45025</v>
      </c>
      <c r="I342" s="962">
        <f t="shared" si="29"/>
        <v>-8</v>
      </c>
      <c r="J342" s="962">
        <f t="shared" si="30"/>
        <v>170479</v>
      </c>
      <c r="K342" s="962">
        <f t="shared" si="31"/>
        <v>0</v>
      </c>
      <c r="L342" s="962">
        <f t="shared" si="32"/>
        <v>0</v>
      </c>
      <c r="M342" s="962">
        <f t="shared" si="33"/>
        <v>0</v>
      </c>
      <c r="N342" s="962">
        <f t="shared" si="34"/>
        <v>0</v>
      </c>
    </row>
    <row r="343" spans="1:14" ht="15.6">
      <c r="A343" s="956"/>
      <c r="B343" s="956"/>
      <c r="C343" s="956"/>
      <c r="D343" s="958">
        <v>3110</v>
      </c>
      <c r="E343" s="959">
        <v>44995</v>
      </c>
      <c r="F343" s="964">
        <v>607022</v>
      </c>
      <c r="G343" s="956">
        <v>30</v>
      </c>
      <c r="H343" s="961">
        <f t="shared" si="28"/>
        <v>45025</v>
      </c>
      <c r="I343" s="962">
        <f t="shared" si="29"/>
        <v>-8</v>
      </c>
      <c r="J343" s="962">
        <f t="shared" si="30"/>
        <v>607022</v>
      </c>
      <c r="K343" s="962">
        <f t="shared" si="31"/>
        <v>0</v>
      </c>
      <c r="L343" s="962">
        <f t="shared" si="32"/>
        <v>0</v>
      </c>
      <c r="M343" s="962">
        <f t="shared" si="33"/>
        <v>0</v>
      </c>
      <c r="N343" s="962">
        <f t="shared" si="34"/>
        <v>0</v>
      </c>
    </row>
    <row r="344" spans="1:14" ht="15.6">
      <c r="A344" s="956"/>
      <c r="B344" s="956"/>
      <c r="C344" s="956"/>
      <c r="D344" s="958">
        <v>3112</v>
      </c>
      <c r="E344" s="959">
        <v>44995</v>
      </c>
      <c r="F344" s="964">
        <v>232060</v>
      </c>
      <c r="G344" s="956">
        <v>30</v>
      </c>
      <c r="H344" s="961">
        <f t="shared" si="28"/>
        <v>45025</v>
      </c>
      <c r="I344" s="962">
        <f t="shared" si="29"/>
        <v>-8</v>
      </c>
      <c r="J344" s="962">
        <f t="shared" si="30"/>
        <v>232060</v>
      </c>
      <c r="K344" s="962">
        <f t="shared" si="31"/>
        <v>0</v>
      </c>
      <c r="L344" s="962">
        <f t="shared" si="32"/>
        <v>0</v>
      </c>
      <c r="M344" s="962">
        <f t="shared" si="33"/>
        <v>0</v>
      </c>
      <c r="N344" s="962">
        <f t="shared" si="34"/>
        <v>0</v>
      </c>
    </row>
    <row r="345" spans="1:14" ht="15.6">
      <c r="A345" s="956"/>
      <c r="B345" s="956"/>
      <c r="C345" s="956"/>
      <c r="D345" s="958">
        <v>3119</v>
      </c>
      <c r="E345" s="959">
        <v>44996</v>
      </c>
      <c r="F345" s="964">
        <v>268007</v>
      </c>
      <c r="G345" s="956">
        <v>30</v>
      </c>
      <c r="H345" s="961">
        <f t="shared" si="28"/>
        <v>45026</v>
      </c>
      <c r="I345" s="962">
        <f t="shared" si="29"/>
        <v>-9</v>
      </c>
      <c r="J345" s="962">
        <f t="shared" si="30"/>
        <v>268007</v>
      </c>
      <c r="K345" s="962">
        <f t="shared" si="31"/>
        <v>0</v>
      </c>
      <c r="L345" s="962">
        <f t="shared" si="32"/>
        <v>0</v>
      </c>
      <c r="M345" s="962">
        <f t="shared" si="33"/>
        <v>0</v>
      </c>
      <c r="N345" s="962">
        <f t="shared" si="34"/>
        <v>0</v>
      </c>
    </row>
    <row r="346" spans="1:14" ht="15.6">
      <c r="A346" s="956"/>
      <c r="B346" s="956"/>
      <c r="C346" s="956"/>
      <c r="D346" s="958">
        <v>3123</v>
      </c>
      <c r="E346" s="959">
        <v>44996</v>
      </c>
      <c r="F346" s="964">
        <v>253658</v>
      </c>
      <c r="G346" s="956">
        <v>30</v>
      </c>
      <c r="H346" s="961">
        <f t="shared" si="28"/>
        <v>45026</v>
      </c>
      <c r="I346" s="962">
        <f t="shared" si="29"/>
        <v>-9</v>
      </c>
      <c r="J346" s="962">
        <f t="shared" si="30"/>
        <v>253658</v>
      </c>
      <c r="K346" s="962">
        <f t="shared" si="31"/>
        <v>0</v>
      </c>
      <c r="L346" s="962">
        <f t="shared" si="32"/>
        <v>0</v>
      </c>
      <c r="M346" s="962">
        <f t="shared" si="33"/>
        <v>0</v>
      </c>
      <c r="N346" s="962">
        <f t="shared" si="34"/>
        <v>0</v>
      </c>
    </row>
    <row r="347" spans="1:14" ht="15.6">
      <c r="A347" s="956"/>
      <c r="B347" s="956"/>
      <c r="C347" s="956"/>
      <c r="D347" s="958">
        <v>3124</v>
      </c>
      <c r="E347" s="959">
        <v>44996</v>
      </c>
      <c r="F347" s="964">
        <v>472238</v>
      </c>
      <c r="G347" s="956">
        <v>30</v>
      </c>
      <c r="H347" s="961">
        <f t="shared" si="28"/>
        <v>45026</v>
      </c>
      <c r="I347" s="962">
        <f t="shared" si="29"/>
        <v>-9</v>
      </c>
      <c r="J347" s="962">
        <f t="shared" si="30"/>
        <v>472238</v>
      </c>
      <c r="K347" s="962">
        <f t="shared" si="31"/>
        <v>0</v>
      </c>
      <c r="L347" s="962">
        <f t="shared" si="32"/>
        <v>0</v>
      </c>
      <c r="M347" s="962">
        <f t="shared" si="33"/>
        <v>0</v>
      </c>
      <c r="N347" s="962">
        <f t="shared" si="34"/>
        <v>0</v>
      </c>
    </row>
    <row r="348" spans="1:14" ht="15.6">
      <c r="A348" s="956"/>
      <c r="B348" s="956"/>
      <c r="C348" s="956"/>
      <c r="D348" s="958">
        <v>3129</v>
      </c>
      <c r="E348" s="959">
        <v>44997</v>
      </c>
      <c r="F348" s="964">
        <v>212005</v>
      </c>
      <c r="G348" s="956">
        <v>30</v>
      </c>
      <c r="H348" s="961">
        <f t="shared" si="28"/>
        <v>45027</v>
      </c>
      <c r="I348" s="962">
        <f t="shared" si="29"/>
        <v>-10</v>
      </c>
      <c r="J348" s="962">
        <f t="shared" si="30"/>
        <v>212005</v>
      </c>
      <c r="K348" s="962">
        <f t="shared" si="31"/>
        <v>0</v>
      </c>
      <c r="L348" s="962">
        <f t="shared" si="32"/>
        <v>0</v>
      </c>
      <c r="M348" s="962">
        <f t="shared" si="33"/>
        <v>0</v>
      </c>
      <c r="N348" s="962">
        <f t="shared" si="34"/>
        <v>0</v>
      </c>
    </row>
    <row r="349" spans="1:14" ht="15.6">
      <c r="A349" s="956"/>
      <c r="B349" s="956"/>
      <c r="C349" s="956"/>
      <c r="D349" s="958">
        <v>3147</v>
      </c>
      <c r="E349" s="959">
        <v>44999</v>
      </c>
      <c r="F349" s="964">
        <v>231054</v>
      </c>
      <c r="G349" s="956">
        <v>30</v>
      </c>
      <c r="H349" s="961">
        <f t="shared" si="28"/>
        <v>45029</v>
      </c>
      <c r="I349" s="962">
        <f t="shared" si="29"/>
        <v>-12</v>
      </c>
      <c r="J349" s="962">
        <f t="shared" si="30"/>
        <v>231054</v>
      </c>
      <c r="K349" s="962">
        <f t="shared" si="31"/>
        <v>0</v>
      </c>
      <c r="L349" s="962">
        <f t="shared" si="32"/>
        <v>0</v>
      </c>
      <c r="M349" s="962">
        <f t="shared" si="33"/>
        <v>0</v>
      </c>
      <c r="N349" s="962">
        <f t="shared" si="34"/>
        <v>0</v>
      </c>
    </row>
    <row r="350" spans="1:14" ht="15.6">
      <c r="A350" s="956"/>
      <c r="B350" s="956"/>
      <c r="C350" s="956"/>
      <c r="D350" s="958">
        <v>3152</v>
      </c>
      <c r="E350" s="959">
        <v>44999</v>
      </c>
      <c r="F350" s="964">
        <v>212414</v>
      </c>
      <c r="G350" s="956">
        <v>30</v>
      </c>
      <c r="H350" s="961">
        <f t="shared" si="28"/>
        <v>45029</v>
      </c>
      <c r="I350" s="962">
        <f t="shared" si="29"/>
        <v>-12</v>
      </c>
      <c r="J350" s="962">
        <f t="shared" si="30"/>
        <v>212414</v>
      </c>
      <c r="K350" s="962">
        <f t="shared" si="31"/>
        <v>0</v>
      </c>
      <c r="L350" s="962">
        <f t="shared" si="32"/>
        <v>0</v>
      </c>
      <c r="M350" s="962">
        <f t="shared" si="33"/>
        <v>0</v>
      </c>
      <c r="N350" s="962">
        <f t="shared" si="34"/>
        <v>0</v>
      </c>
    </row>
    <row r="351" spans="1:14" ht="15.6">
      <c r="A351" s="956"/>
      <c r="B351" s="956"/>
      <c r="C351" s="956"/>
      <c r="D351" s="958">
        <v>3156</v>
      </c>
      <c r="E351" s="959">
        <v>45000</v>
      </c>
      <c r="F351" s="964">
        <v>485576</v>
      </c>
      <c r="G351" s="956">
        <v>30</v>
      </c>
      <c r="H351" s="961">
        <f t="shared" si="28"/>
        <v>45030</v>
      </c>
      <c r="I351" s="962">
        <f t="shared" si="29"/>
        <v>-13</v>
      </c>
      <c r="J351" s="962">
        <f t="shared" si="30"/>
        <v>485576</v>
      </c>
      <c r="K351" s="962">
        <f t="shared" si="31"/>
        <v>0</v>
      </c>
      <c r="L351" s="962">
        <f t="shared" si="32"/>
        <v>0</v>
      </c>
      <c r="M351" s="962">
        <f t="shared" si="33"/>
        <v>0</v>
      </c>
      <c r="N351" s="962">
        <f t="shared" si="34"/>
        <v>0</v>
      </c>
    </row>
    <row r="352" spans="1:14" ht="15.6">
      <c r="A352" s="956"/>
      <c r="B352" s="956"/>
      <c r="C352" s="956"/>
      <c r="D352" s="958">
        <v>3157</v>
      </c>
      <c r="E352" s="959">
        <v>45000</v>
      </c>
      <c r="F352" s="964">
        <v>258052</v>
      </c>
      <c r="G352" s="956">
        <v>30</v>
      </c>
      <c r="H352" s="961">
        <f t="shared" si="28"/>
        <v>45030</v>
      </c>
      <c r="I352" s="962">
        <f t="shared" si="29"/>
        <v>-13</v>
      </c>
      <c r="J352" s="962">
        <f t="shared" si="30"/>
        <v>258052</v>
      </c>
      <c r="K352" s="962">
        <f t="shared" si="31"/>
        <v>0</v>
      </c>
      <c r="L352" s="962">
        <f t="shared" si="32"/>
        <v>0</v>
      </c>
      <c r="M352" s="962">
        <f t="shared" si="33"/>
        <v>0</v>
      </c>
      <c r="N352" s="962">
        <f t="shared" si="34"/>
        <v>0</v>
      </c>
    </row>
    <row r="353" spans="1:14" ht="15.6">
      <c r="A353" s="956"/>
      <c r="B353" s="956"/>
      <c r="C353" s="956"/>
      <c r="D353" s="958">
        <v>3163</v>
      </c>
      <c r="E353" s="959">
        <v>45001</v>
      </c>
      <c r="F353" s="964">
        <v>487524</v>
      </c>
      <c r="G353" s="956">
        <v>30</v>
      </c>
      <c r="H353" s="961">
        <f t="shared" si="28"/>
        <v>45031</v>
      </c>
      <c r="I353" s="962">
        <f t="shared" si="29"/>
        <v>-14</v>
      </c>
      <c r="J353" s="962">
        <f t="shared" si="30"/>
        <v>487524</v>
      </c>
      <c r="K353" s="962">
        <f t="shared" si="31"/>
        <v>0</v>
      </c>
      <c r="L353" s="962">
        <f t="shared" si="32"/>
        <v>0</v>
      </c>
      <c r="M353" s="962">
        <f t="shared" si="33"/>
        <v>0</v>
      </c>
      <c r="N353" s="962">
        <f t="shared" si="34"/>
        <v>0</v>
      </c>
    </row>
    <row r="354" spans="1:14" ht="15.6">
      <c r="A354" s="956"/>
      <c r="B354" s="956"/>
      <c r="C354" s="956"/>
      <c r="D354" s="958">
        <v>3167</v>
      </c>
      <c r="E354" s="959">
        <v>45001</v>
      </c>
      <c r="F354" s="964">
        <v>191994</v>
      </c>
      <c r="G354" s="956">
        <v>30</v>
      </c>
      <c r="H354" s="961">
        <f t="shared" si="28"/>
        <v>45031</v>
      </c>
      <c r="I354" s="962">
        <f t="shared" si="29"/>
        <v>-14</v>
      </c>
      <c r="J354" s="962">
        <f t="shared" si="30"/>
        <v>191994</v>
      </c>
      <c r="K354" s="962">
        <f t="shared" si="31"/>
        <v>0</v>
      </c>
      <c r="L354" s="962">
        <f t="shared" si="32"/>
        <v>0</v>
      </c>
      <c r="M354" s="962">
        <f t="shared" si="33"/>
        <v>0</v>
      </c>
      <c r="N354" s="962">
        <f t="shared" si="34"/>
        <v>0</v>
      </c>
    </row>
    <row r="355" spans="1:14" ht="15.6">
      <c r="A355" s="956"/>
      <c r="B355" s="956"/>
      <c r="C355" s="956"/>
      <c r="D355" s="958">
        <v>3178</v>
      </c>
      <c r="E355" s="959">
        <v>45002</v>
      </c>
      <c r="F355" s="964">
        <v>195205</v>
      </c>
      <c r="G355" s="956">
        <v>30</v>
      </c>
      <c r="H355" s="961">
        <f t="shared" si="28"/>
        <v>45032</v>
      </c>
      <c r="I355" s="962">
        <f t="shared" si="29"/>
        <v>-15</v>
      </c>
      <c r="J355" s="962">
        <f t="shared" si="30"/>
        <v>195205</v>
      </c>
      <c r="K355" s="962">
        <f t="shared" si="31"/>
        <v>0</v>
      </c>
      <c r="L355" s="962">
        <f t="shared" si="32"/>
        <v>0</v>
      </c>
      <c r="M355" s="962">
        <f t="shared" si="33"/>
        <v>0</v>
      </c>
      <c r="N355" s="962">
        <f t="shared" si="34"/>
        <v>0</v>
      </c>
    </row>
    <row r="356" spans="1:14" ht="15.6">
      <c r="A356" s="956"/>
      <c r="B356" s="956"/>
      <c r="C356" s="956"/>
      <c r="D356" s="958">
        <v>3184</v>
      </c>
      <c r="E356" s="959">
        <v>45003</v>
      </c>
      <c r="F356" s="964">
        <v>239687</v>
      </c>
      <c r="G356" s="956">
        <v>30</v>
      </c>
      <c r="H356" s="961">
        <f t="shared" si="28"/>
        <v>45033</v>
      </c>
      <c r="I356" s="962">
        <f t="shared" si="29"/>
        <v>-16</v>
      </c>
      <c r="J356" s="962">
        <f t="shared" si="30"/>
        <v>239687</v>
      </c>
      <c r="K356" s="962">
        <f t="shared" si="31"/>
        <v>0</v>
      </c>
      <c r="L356" s="962">
        <f t="shared" si="32"/>
        <v>0</v>
      </c>
      <c r="M356" s="962">
        <f t="shared" si="33"/>
        <v>0</v>
      </c>
      <c r="N356" s="962">
        <f t="shared" si="34"/>
        <v>0</v>
      </c>
    </row>
    <row r="357" spans="1:14" ht="15.6">
      <c r="A357" s="956"/>
      <c r="B357" s="956"/>
      <c r="C357" s="956"/>
      <c r="D357" s="958">
        <v>3185</v>
      </c>
      <c r="E357" s="959">
        <v>45003</v>
      </c>
      <c r="F357" s="964">
        <v>238490</v>
      </c>
      <c r="G357" s="956">
        <v>30</v>
      </c>
      <c r="H357" s="961">
        <f t="shared" si="28"/>
        <v>45033</v>
      </c>
      <c r="I357" s="962">
        <f t="shared" si="29"/>
        <v>-16</v>
      </c>
      <c r="J357" s="962">
        <f t="shared" si="30"/>
        <v>238490</v>
      </c>
      <c r="K357" s="962">
        <f t="shared" si="31"/>
        <v>0</v>
      </c>
      <c r="L357" s="962">
        <f t="shared" si="32"/>
        <v>0</v>
      </c>
      <c r="M357" s="962">
        <f t="shared" si="33"/>
        <v>0</v>
      </c>
      <c r="N357" s="962">
        <f t="shared" si="34"/>
        <v>0</v>
      </c>
    </row>
    <row r="358" spans="1:14" ht="15.6">
      <c r="A358" s="956"/>
      <c r="B358" s="956"/>
      <c r="C358" s="956"/>
      <c r="D358" s="958">
        <v>3190</v>
      </c>
      <c r="E358" s="959">
        <v>45004</v>
      </c>
      <c r="F358" s="964">
        <v>183737</v>
      </c>
      <c r="G358" s="956">
        <v>30</v>
      </c>
      <c r="H358" s="961">
        <f t="shared" si="28"/>
        <v>45034</v>
      </c>
      <c r="I358" s="962">
        <f t="shared" si="29"/>
        <v>-17</v>
      </c>
      <c r="J358" s="962">
        <f t="shared" si="30"/>
        <v>183737</v>
      </c>
      <c r="K358" s="962">
        <f t="shared" si="31"/>
        <v>0</v>
      </c>
      <c r="L358" s="962">
        <f t="shared" si="32"/>
        <v>0</v>
      </c>
      <c r="M358" s="962">
        <f t="shared" si="33"/>
        <v>0</v>
      </c>
      <c r="N358" s="962">
        <f t="shared" si="34"/>
        <v>0</v>
      </c>
    </row>
    <row r="359" spans="1:14" ht="15.6">
      <c r="A359" s="956"/>
      <c r="B359" s="956"/>
      <c r="C359" s="956"/>
      <c r="D359" s="958">
        <v>3196</v>
      </c>
      <c r="E359" s="959">
        <v>45004</v>
      </c>
      <c r="F359" s="964">
        <v>340481</v>
      </c>
      <c r="G359" s="956">
        <v>30</v>
      </c>
      <c r="H359" s="961">
        <f t="shared" si="28"/>
        <v>45034</v>
      </c>
      <c r="I359" s="962">
        <f t="shared" si="29"/>
        <v>-17</v>
      </c>
      <c r="J359" s="962">
        <f t="shared" si="30"/>
        <v>340481</v>
      </c>
      <c r="K359" s="962">
        <f t="shared" si="31"/>
        <v>0</v>
      </c>
      <c r="L359" s="962">
        <f t="shared" si="32"/>
        <v>0</v>
      </c>
      <c r="M359" s="962">
        <f t="shared" si="33"/>
        <v>0</v>
      </c>
      <c r="N359" s="962">
        <f t="shared" si="34"/>
        <v>0</v>
      </c>
    </row>
    <row r="360" spans="1:14" ht="15.6">
      <c r="A360" s="956"/>
      <c r="B360" s="956"/>
      <c r="C360" s="956"/>
      <c r="D360" s="958">
        <v>3204</v>
      </c>
      <c r="E360" s="959">
        <v>45005</v>
      </c>
      <c r="F360" s="964">
        <v>272894</v>
      </c>
      <c r="G360" s="956">
        <v>30</v>
      </c>
      <c r="H360" s="961">
        <f t="shared" si="28"/>
        <v>45035</v>
      </c>
      <c r="I360" s="962">
        <f t="shared" si="29"/>
        <v>-18</v>
      </c>
      <c r="J360" s="962">
        <f t="shared" si="30"/>
        <v>272894</v>
      </c>
      <c r="K360" s="962">
        <f t="shared" si="31"/>
        <v>0</v>
      </c>
      <c r="L360" s="962">
        <f t="shared" si="32"/>
        <v>0</v>
      </c>
      <c r="M360" s="962">
        <f t="shared" si="33"/>
        <v>0</v>
      </c>
      <c r="N360" s="962">
        <f t="shared" si="34"/>
        <v>0</v>
      </c>
    </row>
    <row r="361" spans="1:14" ht="15.6">
      <c r="A361" s="956"/>
      <c r="B361" s="956"/>
      <c r="C361" s="956"/>
      <c r="D361" s="958">
        <v>3205</v>
      </c>
      <c r="E361" s="959">
        <v>45005</v>
      </c>
      <c r="F361" s="964">
        <v>530673</v>
      </c>
      <c r="G361" s="956">
        <v>30</v>
      </c>
      <c r="H361" s="961">
        <f t="shared" si="28"/>
        <v>45035</v>
      </c>
      <c r="I361" s="962">
        <f t="shared" si="29"/>
        <v>-18</v>
      </c>
      <c r="J361" s="962">
        <f t="shared" si="30"/>
        <v>530673</v>
      </c>
      <c r="K361" s="962">
        <f t="shared" si="31"/>
        <v>0</v>
      </c>
      <c r="L361" s="962">
        <f t="shared" si="32"/>
        <v>0</v>
      </c>
      <c r="M361" s="962">
        <f t="shared" si="33"/>
        <v>0</v>
      </c>
      <c r="N361" s="962">
        <f t="shared" si="34"/>
        <v>0</v>
      </c>
    </row>
    <row r="362" spans="1:14" ht="15.6">
      <c r="A362" s="956"/>
      <c r="B362" s="956"/>
      <c r="C362" s="956"/>
      <c r="D362" s="958">
        <v>3212</v>
      </c>
      <c r="E362" s="959">
        <v>45006</v>
      </c>
      <c r="F362" s="964">
        <v>210193</v>
      </c>
      <c r="G362" s="956">
        <v>30</v>
      </c>
      <c r="H362" s="961">
        <f t="shared" si="28"/>
        <v>45036</v>
      </c>
      <c r="I362" s="962">
        <f t="shared" si="29"/>
        <v>-19</v>
      </c>
      <c r="J362" s="962">
        <f t="shared" si="30"/>
        <v>210193</v>
      </c>
      <c r="K362" s="962">
        <f t="shared" si="31"/>
        <v>0</v>
      </c>
      <c r="L362" s="962">
        <f t="shared" si="32"/>
        <v>0</v>
      </c>
      <c r="M362" s="962">
        <f t="shared" si="33"/>
        <v>0</v>
      </c>
      <c r="N362" s="962">
        <f t="shared" si="34"/>
        <v>0</v>
      </c>
    </row>
    <row r="363" spans="1:14" ht="15.6">
      <c r="A363" s="956"/>
      <c r="B363" s="956"/>
      <c r="C363" s="956"/>
      <c r="D363" s="958">
        <v>3213</v>
      </c>
      <c r="E363" s="959">
        <v>45006</v>
      </c>
      <c r="F363" s="964">
        <v>193858</v>
      </c>
      <c r="G363" s="956">
        <v>30</v>
      </c>
      <c r="H363" s="961">
        <f t="shared" si="28"/>
        <v>45036</v>
      </c>
      <c r="I363" s="962">
        <f t="shared" si="29"/>
        <v>-19</v>
      </c>
      <c r="J363" s="962">
        <f t="shared" si="30"/>
        <v>193858</v>
      </c>
      <c r="K363" s="962">
        <f t="shared" si="31"/>
        <v>0</v>
      </c>
      <c r="L363" s="962">
        <f t="shared" si="32"/>
        <v>0</v>
      </c>
      <c r="M363" s="962">
        <f t="shared" si="33"/>
        <v>0</v>
      </c>
      <c r="N363" s="962">
        <f t="shared" si="34"/>
        <v>0</v>
      </c>
    </row>
    <row r="364" spans="1:14" ht="15.6">
      <c r="A364" s="956"/>
      <c r="B364" s="956"/>
      <c r="C364" s="956"/>
      <c r="D364" s="958">
        <v>3217</v>
      </c>
      <c r="E364" s="959">
        <v>45007</v>
      </c>
      <c r="F364" s="964">
        <v>536634</v>
      </c>
      <c r="G364" s="956">
        <v>30</v>
      </c>
      <c r="H364" s="961">
        <f t="shared" si="28"/>
        <v>45037</v>
      </c>
      <c r="I364" s="962">
        <f t="shared" si="29"/>
        <v>-20</v>
      </c>
      <c r="J364" s="962">
        <f t="shared" si="30"/>
        <v>536634</v>
      </c>
      <c r="K364" s="962">
        <f t="shared" si="31"/>
        <v>0</v>
      </c>
      <c r="L364" s="962">
        <f t="shared" si="32"/>
        <v>0</v>
      </c>
      <c r="M364" s="962">
        <f t="shared" si="33"/>
        <v>0</v>
      </c>
      <c r="N364" s="962">
        <f t="shared" si="34"/>
        <v>0</v>
      </c>
    </row>
    <row r="365" spans="1:14" ht="15.6">
      <c r="A365" s="956"/>
      <c r="B365" s="956"/>
      <c r="C365" s="956"/>
      <c r="D365" s="958">
        <v>3224</v>
      </c>
      <c r="E365" s="959">
        <v>45007</v>
      </c>
      <c r="F365" s="964">
        <v>520747</v>
      </c>
      <c r="G365" s="956">
        <v>30</v>
      </c>
      <c r="H365" s="961">
        <f t="shared" si="28"/>
        <v>45037</v>
      </c>
      <c r="I365" s="962">
        <f t="shared" si="29"/>
        <v>-20</v>
      </c>
      <c r="J365" s="962">
        <f t="shared" si="30"/>
        <v>520747</v>
      </c>
      <c r="K365" s="962">
        <f t="shared" si="31"/>
        <v>0</v>
      </c>
      <c r="L365" s="962">
        <f t="shared" si="32"/>
        <v>0</v>
      </c>
      <c r="M365" s="962">
        <f t="shared" si="33"/>
        <v>0</v>
      </c>
      <c r="N365" s="962">
        <f t="shared" si="34"/>
        <v>0</v>
      </c>
    </row>
    <row r="366" spans="1:14" ht="15.6">
      <c r="A366" s="956"/>
      <c r="B366" s="956"/>
      <c r="C366" s="956"/>
      <c r="D366" s="958">
        <v>3231</v>
      </c>
      <c r="E366" s="959">
        <v>45008</v>
      </c>
      <c r="F366" s="964">
        <v>297442</v>
      </c>
      <c r="G366" s="956">
        <v>30</v>
      </c>
      <c r="H366" s="961">
        <f t="shared" si="28"/>
        <v>45038</v>
      </c>
      <c r="I366" s="962">
        <f t="shared" si="29"/>
        <v>-21</v>
      </c>
      <c r="J366" s="962">
        <f t="shared" si="30"/>
        <v>297442</v>
      </c>
      <c r="K366" s="962">
        <f t="shared" si="31"/>
        <v>0</v>
      </c>
      <c r="L366" s="962">
        <f t="shared" si="32"/>
        <v>0</v>
      </c>
      <c r="M366" s="962">
        <f t="shared" si="33"/>
        <v>0</v>
      </c>
      <c r="N366" s="962">
        <f t="shared" si="34"/>
        <v>0</v>
      </c>
    </row>
    <row r="367" spans="1:14" ht="15.6">
      <c r="A367" s="956"/>
      <c r="B367" s="956"/>
      <c r="C367" s="956"/>
      <c r="D367" s="958">
        <v>3242</v>
      </c>
      <c r="E367" s="959">
        <v>45009</v>
      </c>
      <c r="F367" s="964">
        <v>239658</v>
      </c>
      <c r="G367" s="956">
        <v>30</v>
      </c>
      <c r="H367" s="961">
        <f t="shared" si="28"/>
        <v>45039</v>
      </c>
      <c r="I367" s="962">
        <f t="shared" si="29"/>
        <v>-22</v>
      </c>
      <c r="J367" s="962">
        <f t="shared" si="30"/>
        <v>239658</v>
      </c>
      <c r="K367" s="962">
        <f t="shared" si="31"/>
        <v>0</v>
      </c>
      <c r="L367" s="962">
        <f t="shared" si="32"/>
        <v>0</v>
      </c>
      <c r="M367" s="962">
        <f t="shared" si="33"/>
        <v>0</v>
      </c>
      <c r="N367" s="962">
        <f t="shared" si="34"/>
        <v>0</v>
      </c>
    </row>
    <row r="368" spans="1:14" ht="15.6">
      <c r="A368" s="956"/>
      <c r="B368" s="956"/>
      <c r="C368" s="956"/>
      <c r="D368" s="958">
        <v>3244</v>
      </c>
      <c r="E368" s="959">
        <v>45009</v>
      </c>
      <c r="F368" s="964">
        <v>495567</v>
      </c>
      <c r="G368" s="956">
        <v>30</v>
      </c>
      <c r="H368" s="961">
        <f t="shared" si="28"/>
        <v>45039</v>
      </c>
      <c r="I368" s="962">
        <f t="shared" si="29"/>
        <v>-22</v>
      </c>
      <c r="J368" s="962">
        <f t="shared" si="30"/>
        <v>495567</v>
      </c>
      <c r="K368" s="962">
        <f t="shared" si="31"/>
        <v>0</v>
      </c>
      <c r="L368" s="962">
        <f t="shared" si="32"/>
        <v>0</v>
      </c>
      <c r="M368" s="962">
        <f t="shared" si="33"/>
        <v>0</v>
      </c>
      <c r="N368" s="962">
        <f t="shared" si="34"/>
        <v>0</v>
      </c>
    </row>
    <row r="369" spans="1:14" ht="15.6">
      <c r="A369" s="956"/>
      <c r="B369" s="956"/>
      <c r="C369" s="956"/>
      <c r="D369" s="958">
        <v>3245</v>
      </c>
      <c r="E369" s="959">
        <v>45009</v>
      </c>
      <c r="F369" s="964">
        <v>237882</v>
      </c>
      <c r="G369" s="956">
        <v>30</v>
      </c>
      <c r="H369" s="961">
        <f t="shared" si="28"/>
        <v>45039</v>
      </c>
      <c r="I369" s="962">
        <f t="shared" si="29"/>
        <v>-22</v>
      </c>
      <c r="J369" s="962">
        <f t="shared" si="30"/>
        <v>237882</v>
      </c>
      <c r="K369" s="962">
        <f t="shared" si="31"/>
        <v>0</v>
      </c>
      <c r="L369" s="962">
        <f t="shared" si="32"/>
        <v>0</v>
      </c>
      <c r="M369" s="962">
        <f t="shared" si="33"/>
        <v>0</v>
      </c>
      <c r="N369" s="962">
        <f t="shared" si="34"/>
        <v>0</v>
      </c>
    </row>
    <row r="370" spans="1:14" ht="15.6">
      <c r="A370" s="956"/>
      <c r="B370" s="956"/>
      <c r="C370" s="956"/>
      <c r="D370" s="958">
        <v>3256</v>
      </c>
      <c r="E370" s="959">
        <v>45010</v>
      </c>
      <c r="F370" s="964">
        <v>65798</v>
      </c>
      <c r="G370" s="956">
        <v>30</v>
      </c>
      <c r="H370" s="961">
        <f t="shared" si="28"/>
        <v>45040</v>
      </c>
      <c r="I370" s="962">
        <f t="shared" si="29"/>
        <v>-23</v>
      </c>
      <c r="J370" s="962">
        <f t="shared" si="30"/>
        <v>65798</v>
      </c>
      <c r="K370" s="962">
        <f t="shared" si="31"/>
        <v>0</v>
      </c>
      <c r="L370" s="962">
        <f t="shared" si="32"/>
        <v>0</v>
      </c>
      <c r="M370" s="962">
        <f t="shared" si="33"/>
        <v>0</v>
      </c>
      <c r="N370" s="962">
        <f t="shared" si="34"/>
        <v>0</v>
      </c>
    </row>
    <row r="371" spans="1:14" ht="15.6">
      <c r="A371" s="956"/>
      <c r="B371" s="956"/>
      <c r="C371" s="956"/>
      <c r="D371" s="958">
        <v>3261</v>
      </c>
      <c r="E371" s="959">
        <v>45010</v>
      </c>
      <c r="F371" s="964">
        <v>232564</v>
      </c>
      <c r="G371" s="956">
        <v>30</v>
      </c>
      <c r="H371" s="961">
        <f t="shared" si="28"/>
        <v>45040</v>
      </c>
      <c r="I371" s="962">
        <f t="shared" si="29"/>
        <v>-23</v>
      </c>
      <c r="J371" s="962">
        <f t="shared" si="30"/>
        <v>232564</v>
      </c>
      <c r="K371" s="962">
        <f t="shared" si="31"/>
        <v>0</v>
      </c>
      <c r="L371" s="962">
        <f t="shared" si="32"/>
        <v>0</v>
      </c>
      <c r="M371" s="962">
        <f t="shared" si="33"/>
        <v>0</v>
      </c>
      <c r="N371" s="962">
        <f t="shared" si="34"/>
        <v>0</v>
      </c>
    </row>
    <row r="372" spans="1:14" ht="15.6">
      <c r="A372" s="956"/>
      <c r="B372" s="956"/>
      <c r="C372" s="956"/>
      <c r="D372" s="958">
        <v>3268</v>
      </c>
      <c r="E372" s="959">
        <v>45011</v>
      </c>
      <c r="F372" s="964">
        <v>237734</v>
      </c>
      <c r="G372" s="956">
        <v>30</v>
      </c>
      <c r="H372" s="961">
        <f t="shared" si="28"/>
        <v>45041</v>
      </c>
      <c r="I372" s="962">
        <f t="shared" si="29"/>
        <v>-24</v>
      </c>
      <c r="J372" s="962">
        <f t="shared" si="30"/>
        <v>237734</v>
      </c>
      <c r="K372" s="962">
        <f t="shared" si="31"/>
        <v>0</v>
      </c>
      <c r="L372" s="962">
        <f t="shared" si="32"/>
        <v>0</v>
      </c>
      <c r="M372" s="962">
        <f t="shared" si="33"/>
        <v>0</v>
      </c>
      <c r="N372" s="962">
        <f t="shared" si="34"/>
        <v>0</v>
      </c>
    </row>
    <row r="373" spans="1:14" ht="15.6">
      <c r="A373" s="956"/>
      <c r="B373" s="956"/>
      <c r="C373" s="956"/>
      <c r="D373" s="958">
        <v>3269</v>
      </c>
      <c r="E373" s="959">
        <v>45011</v>
      </c>
      <c r="F373" s="964">
        <v>204019</v>
      </c>
      <c r="G373" s="956">
        <v>30</v>
      </c>
      <c r="H373" s="961">
        <f t="shared" ref="H373:H436" si="35">+E373+G373</f>
        <v>45041</v>
      </c>
      <c r="I373" s="962">
        <f t="shared" ref="I373:I436" si="36">+$Q$1-H373+1</f>
        <v>-24</v>
      </c>
      <c r="J373" s="962">
        <f t="shared" ref="J373:J436" si="37">IF(I373&lt;=30,F373,0)</f>
        <v>204019</v>
      </c>
      <c r="K373" s="962">
        <f t="shared" ref="K373:K436" si="38">IF(I373&lt;=30,0,IF(I373&gt;60,0,F373))</f>
        <v>0</v>
      </c>
      <c r="L373" s="962">
        <f t="shared" ref="L373:L436" si="39">IF(I373&lt;=60,0,IF(I373&gt;90,0,F373))</f>
        <v>0</v>
      </c>
      <c r="M373" s="962">
        <f t="shared" ref="M373:M436" si="40">IF(I373&lt;=90,0,IF(I373&gt;120,0,F373))</f>
        <v>0</v>
      </c>
      <c r="N373" s="962">
        <f t="shared" ref="N373:N436" si="41">IF(I373&lt;=120,0,F373)</f>
        <v>0</v>
      </c>
    </row>
    <row r="374" spans="1:14" ht="15.6">
      <c r="A374" s="956"/>
      <c r="B374" s="956"/>
      <c r="C374" s="956"/>
      <c r="D374" s="958">
        <v>3273</v>
      </c>
      <c r="E374" s="959">
        <v>45011</v>
      </c>
      <c r="F374" s="964">
        <v>234081</v>
      </c>
      <c r="G374" s="956">
        <v>30</v>
      </c>
      <c r="H374" s="961">
        <f t="shared" si="35"/>
        <v>45041</v>
      </c>
      <c r="I374" s="962">
        <f t="shared" si="36"/>
        <v>-24</v>
      </c>
      <c r="J374" s="962">
        <f t="shared" si="37"/>
        <v>234081</v>
      </c>
      <c r="K374" s="962">
        <f t="shared" si="38"/>
        <v>0</v>
      </c>
      <c r="L374" s="962">
        <f t="shared" si="39"/>
        <v>0</v>
      </c>
      <c r="M374" s="962">
        <f t="shared" si="40"/>
        <v>0</v>
      </c>
      <c r="N374" s="962">
        <f t="shared" si="41"/>
        <v>0</v>
      </c>
    </row>
    <row r="375" spans="1:14" ht="15.6">
      <c r="A375" s="956"/>
      <c r="B375" s="956"/>
      <c r="C375" s="956"/>
      <c r="D375" s="958">
        <v>3275</v>
      </c>
      <c r="E375" s="959">
        <v>45012</v>
      </c>
      <c r="F375" s="964">
        <v>514176</v>
      </c>
      <c r="G375" s="956">
        <v>30</v>
      </c>
      <c r="H375" s="961">
        <f t="shared" si="35"/>
        <v>45042</v>
      </c>
      <c r="I375" s="962">
        <f t="shared" si="36"/>
        <v>-25</v>
      </c>
      <c r="J375" s="962">
        <f t="shared" si="37"/>
        <v>514176</v>
      </c>
      <c r="K375" s="962">
        <f t="shared" si="38"/>
        <v>0</v>
      </c>
      <c r="L375" s="962">
        <f t="shared" si="39"/>
        <v>0</v>
      </c>
      <c r="M375" s="962">
        <f t="shared" si="40"/>
        <v>0</v>
      </c>
      <c r="N375" s="962">
        <f t="shared" si="41"/>
        <v>0</v>
      </c>
    </row>
    <row r="376" spans="1:14" ht="15.6">
      <c r="A376" s="956"/>
      <c r="B376" s="956"/>
      <c r="C376" s="956"/>
      <c r="D376" s="958">
        <v>3278</v>
      </c>
      <c r="E376" s="959">
        <v>45012</v>
      </c>
      <c r="F376" s="964">
        <v>523906</v>
      </c>
      <c r="G376" s="956">
        <v>30</v>
      </c>
      <c r="H376" s="961">
        <f t="shared" si="35"/>
        <v>45042</v>
      </c>
      <c r="I376" s="962">
        <f t="shared" si="36"/>
        <v>-25</v>
      </c>
      <c r="J376" s="962">
        <f t="shared" si="37"/>
        <v>523906</v>
      </c>
      <c r="K376" s="962">
        <f t="shared" si="38"/>
        <v>0</v>
      </c>
      <c r="L376" s="962">
        <f t="shared" si="39"/>
        <v>0</v>
      </c>
      <c r="M376" s="962">
        <f t="shared" si="40"/>
        <v>0</v>
      </c>
      <c r="N376" s="962">
        <f t="shared" si="41"/>
        <v>0</v>
      </c>
    </row>
    <row r="377" spans="1:14" ht="15.6">
      <c r="A377" s="956"/>
      <c r="B377" s="956"/>
      <c r="C377" s="956"/>
      <c r="D377" s="958">
        <v>3281</v>
      </c>
      <c r="E377" s="959">
        <v>45012</v>
      </c>
      <c r="F377" s="964">
        <v>148469</v>
      </c>
      <c r="G377" s="956">
        <v>30</v>
      </c>
      <c r="H377" s="961">
        <f t="shared" si="35"/>
        <v>45042</v>
      </c>
      <c r="I377" s="962">
        <f t="shared" si="36"/>
        <v>-25</v>
      </c>
      <c r="J377" s="962">
        <f t="shared" si="37"/>
        <v>148469</v>
      </c>
      <c r="K377" s="962">
        <f t="shared" si="38"/>
        <v>0</v>
      </c>
      <c r="L377" s="962">
        <f t="shared" si="39"/>
        <v>0</v>
      </c>
      <c r="M377" s="962">
        <f t="shared" si="40"/>
        <v>0</v>
      </c>
      <c r="N377" s="962">
        <f t="shared" si="41"/>
        <v>0</v>
      </c>
    </row>
    <row r="378" spans="1:14" ht="15.6">
      <c r="A378" s="956"/>
      <c r="B378" s="956"/>
      <c r="C378" s="956"/>
      <c r="D378" s="958">
        <v>3286</v>
      </c>
      <c r="E378" s="959">
        <v>45013</v>
      </c>
      <c r="F378" s="964">
        <v>189239</v>
      </c>
      <c r="G378" s="956">
        <v>30</v>
      </c>
      <c r="H378" s="961">
        <f t="shared" si="35"/>
        <v>45043</v>
      </c>
      <c r="I378" s="962">
        <f t="shared" si="36"/>
        <v>-26</v>
      </c>
      <c r="J378" s="962">
        <f t="shared" si="37"/>
        <v>189239</v>
      </c>
      <c r="K378" s="962">
        <f t="shared" si="38"/>
        <v>0</v>
      </c>
      <c r="L378" s="962">
        <f t="shared" si="39"/>
        <v>0</v>
      </c>
      <c r="M378" s="962">
        <f t="shared" si="40"/>
        <v>0</v>
      </c>
      <c r="N378" s="962">
        <f t="shared" si="41"/>
        <v>0</v>
      </c>
    </row>
    <row r="379" spans="1:14" ht="15.6">
      <c r="A379" s="956"/>
      <c r="B379" s="956"/>
      <c r="C379" s="956"/>
      <c r="D379" s="958">
        <v>3289</v>
      </c>
      <c r="E379" s="959">
        <v>45013</v>
      </c>
      <c r="F379" s="964">
        <v>65944</v>
      </c>
      <c r="G379" s="956">
        <v>30</v>
      </c>
      <c r="H379" s="961">
        <f t="shared" si="35"/>
        <v>45043</v>
      </c>
      <c r="I379" s="962">
        <f t="shared" si="36"/>
        <v>-26</v>
      </c>
      <c r="J379" s="962">
        <f t="shared" si="37"/>
        <v>65944</v>
      </c>
      <c r="K379" s="962">
        <f t="shared" si="38"/>
        <v>0</v>
      </c>
      <c r="L379" s="962">
        <f t="shared" si="39"/>
        <v>0</v>
      </c>
      <c r="M379" s="962">
        <f t="shared" si="40"/>
        <v>0</v>
      </c>
      <c r="N379" s="962">
        <f t="shared" si="41"/>
        <v>0</v>
      </c>
    </row>
    <row r="380" spans="1:14" ht="15.6">
      <c r="A380" s="956"/>
      <c r="B380" s="956"/>
      <c r="C380" s="956"/>
      <c r="D380" s="958">
        <v>3300</v>
      </c>
      <c r="E380" s="959">
        <v>45015</v>
      </c>
      <c r="F380" s="964">
        <v>191831</v>
      </c>
      <c r="G380" s="956">
        <v>30</v>
      </c>
      <c r="H380" s="961">
        <f t="shared" si="35"/>
        <v>45045</v>
      </c>
      <c r="I380" s="962">
        <f t="shared" si="36"/>
        <v>-28</v>
      </c>
      <c r="J380" s="962">
        <f t="shared" si="37"/>
        <v>191831</v>
      </c>
      <c r="K380" s="962">
        <f t="shared" si="38"/>
        <v>0</v>
      </c>
      <c r="L380" s="962">
        <f t="shared" si="39"/>
        <v>0</v>
      </c>
      <c r="M380" s="962">
        <f t="shared" si="40"/>
        <v>0</v>
      </c>
      <c r="N380" s="962">
        <f t="shared" si="41"/>
        <v>0</v>
      </c>
    </row>
    <row r="381" spans="1:14" ht="15.6">
      <c r="A381" s="956"/>
      <c r="B381" s="956"/>
      <c r="C381" s="956"/>
      <c r="D381" s="958">
        <v>3301</v>
      </c>
      <c r="E381" s="959">
        <v>45015</v>
      </c>
      <c r="F381" s="964">
        <v>62317</v>
      </c>
      <c r="G381" s="956">
        <v>30</v>
      </c>
      <c r="H381" s="961">
        <f t="shared" si="35"/>
        <v>45045</v>
      </c>
      <c r="I381" s="962">
        <f t="shared" si="36"/>
        <v>-28</v>
      </c>
      <c r="J381" s="962">
        <f t="shared" si="37"/>
        <v>62317</v>
      </c>
      <c r="K381" s="962">
        <f t="shared" si="38"/>
        <v>0</v>
      </c>
      <c r="L381" s="962">
        <f t="shared" si="39"/>
        <v>0</v>
      </c>
      <c r="M381" s="962">
        <f t="shared" si="40"/>
        <v>0</v>
      </c>
      <c r="N381" s="962">
        <f t="shared" si="41"/>
        <v>0</v>
      </c>
    </row>
    <row r="382" spans="1:14" ht="15.6">
      <c r="A382" s="956"/>
      <c r="B382" s="956"/>
      <c r="C382" s="956"/>
      <c r="D382" s="958">
        <v>3306</v>
      </c>
      <c r="E382" s="959">
        <v>45016</v>
      </c>
      <c r="F382" s="964">
        <v>216312</v>
      </c>
      <c r="G382" s="956">
        <v>30</v>
      </c>
      <c r="H382" s="961">
        <f t="shared" si="35"/>
        <v>45046</v>
      </c>
      <c r="I382" s="962">
        <f t="shared" si="36"/>
        <v>-29</v>
      </c>
      <c r="J382" s="962">
        <f t="shared" si="37"/>
        <v>216312</v>
      </c>
      <c r="K382" s="962">
        <f t="shared" si="38"/>
        <v>0</v>
      </c>
      <c r="L382" s="962">
        <f t="shared" si="39"/>
        <v>0</v>
      </c>
      <c r="M382" s="962">
        <f t="shared" si="40"/>
        <v>0</v>
      </c>
      <c r="N382" s="962">
        <f t="shared" si="41"/>
        <v>0</v>
      </c>
    </row>
    <row r="383" spans="1:14" ht="15.6">
      <c r="A383" s="956"/>
      <c r="B383" s="956"/>
      <c r="C383" s="956"/>
      <c r="D383" s="958">
        <v>3310</v>
      </c>
      <c r="E383" s="959">
        <v>45016</v>
      </c>
      <c r="F383" s="964">
        <v>213129</v>
      </c>
      <c r="G383" s="956">
        <v>30</v>
      </c>
      <c r="H383" s="961">
        <f t="shared" si="35"/>
        <v>45046</v>
      </c>
      <c r="I383" s="962">
        <f t="shared" si="36"/>
        <v>-29</v>
      </c>
      <c r="J383" s="962">
        <f t="shared" si="37"/>
        <v>213129</v>
      </c>
      <c r="K383" s="962">
        <f t="shared" si="38"/>
        <v>0</v>
      </c>
      <c r="L383" s="962">
        <f t="shared" si="39"/>
        <v>0</v>
      </c>
      <c r="M383" s="962">
        <f t="shared" si="40"/>
        <v>0</v>
      </c>
      <c r="N383" s="962">
        <f t="shared" si="41"/>
        <v>0</v>
      </c>
    </row>
    <row r="384" spans="1:14" ht="15.6">
      <c r="A384" s="956"/>
      <c r="B384" s="956"/>
      <c r="C384" s="956"/>
      <c r="D384" s="958" t="s">
        <v>2753</v>
      </c>
      <c r="E384" s="959">
        <v>45016</v>
      </c>
      <c r="F384" s="964">
        <v>-15483</v>
      </c>
      <c r="G384" s="956">
        <v>30</v>
      </c>
      <c r="H384" s="961">
        <f t="shared" si="35"/>
        <v>45046</v>
      </c>
      <c r="I384" s="962">
        <f t="shared" si="36"/>
        <v>-29</v>
      </c>
      <c r="J384" s="962">
        <f t="shared" si="37"/>
        <v>-15483</v>
      </c>
      <c r="K384" s="962">
        <f t="shared" si="38"/>
        <v>0</v>
      </c>
      <c r="L384" s="962">
        <f t="shared" si="39"/>
        <v>0</v>
      </c>
      <c r="M384" s="962">
        <f t="shared" si="40"/>
        <v>0</v>
      </c>
      <c r="N384" s="962">
        <f t="shared" si="41"/>
        <v>0</v>
      </c>
    </row>
    <row r="385" spans="1:14" ht="15.6">
      <c r="A385" s="956"/>
      <c r="B385" s="956"/>
      <c r="C385" s="956"/>
      <c r="D385" s="958"/>
      <c r="E385" s="959">
        <v>45016</v>
      </c>
      <c r="F385" s="964">
        <v>-330</v>
      </c>
      <c r="G385" s="956">
        <v>30</v>
      </c>
      <c r="H385" s="961">
        <f t="shared" si="35"/>
        <v>45046</v>
      </c>
      <c r="I385" s="962">
        <f t="shared" si="36"/>
        <v>-29</v>
      </c>
      <c r="J385" s="962">
        <f t="shared" si="37"/>
        <v>-330</v>
      </c>
      <c r="K385" s="962">
        <f t="shared" si="38"/>
        <v>0</v>
      </c>
      <c r="L385" s="962">
        <f t="shared" si="39"/>
        <v>0</v>
      </c>
      <c r="M385" s="962">
        <f t="shared" si="40"/>
        <v>0</v>
      </c>
      <c r="N385" s="962">
        <f t="shared" si="41"/>
        <v>0</v>
      </c>
    </row>
    <row r="386" spans="1:14" ht="15.6">
      <c r="A386" s="956"/>
      <c r="B386" s="956"/>
      <c r="C386" s="956"/>
      <c r="D386" s="958"/>
      <c r="E386" s="959"/>
      <c r="F386" s="965">
        <f>SUM(F279:F385)</f>
        <v>28916252</v>
      </c>
      <c r="G386" s="956"/>
      <c r="H386" s="961"/>
      <c r="I386" s="962"/>
      <c r="J386" s="962"/>
      <c r="K386" s="962"/>
      <c r="L386" s="962"/>
      <c r="M386" s="962"/>
      <c r="N386" s="962"/>
    </row>
    <row r="387" spans="1:14" ht="15.6">
      <c r="A387" s="956"/>
      <c r="B387" s="956"/>
      <c r="C387" s="956"/>
      <c r="D387" s="958"/>
      <c r="E387" s="959"/>
      <c r="F387" s="964"/>
      <c r="G387" s="956"/>
      <c r="H387" s="961"/>
      <c r="I387" s="962"/>
      <c r="J387" s="962"/>
      <c r="K387" s="962"/>
      <c r="L387" s="962"/>
      <c r="M387" s="962"/>
      <c r="N387" s="962"/>
    </row>
    <row r="388" spans="1:14" ht="15.6">
      <c r="A388" s="956">
        <v>15</v>
      </c>
      <c r="B388" s="957" t="s">
        <v>632</v>
      </c>
      <c r="C388" s="956"/>
      <c r="D388" s="958">
        <v>3215</v>
      </c>
      <c r="E388" s="959">
        <v>45006</v>
      </c>
      <c r="F388" s="964">
        <v>196757</v>
      </c>
      <c r="G388" s="956">
        <v>30</v>
      </c>
      <c r="H388" s="961">
        <f t="shared" si="35"/>
        <v>45036</v>
      </c>
      <c r="I388" s="962">
        <f t="shared" si="36"/>
        <v>-19</v>
      </c>
      <c r="J388" s="962">
        <f t="shared" si="37"/>
        <v>196757</v>
      </c>
      <c r="K388" s="962">
        <f t="shared" si="38"/>
        <v>0</v>
      </c>
      <c r="L388" s="962">
        <f t="shared" si="39"/>
        <v>0</v>
      </c>
      <c r="M388" s="962">
        <f t="shared" si="40"/>
        <v>0</v>
      </c>
      <c r="N388" s="962">
        <f t="shared" si="41"/>
        <v>0</v>
      </c>
    </row>
    <row r="389" spans="1:14" ht="15.6">
      <c r="A389" s="956"/>
      <c r="B389" s="957"/>
      <c r="C389" s="956"/>
      <c r="D389" s="958"/>
      <c r="E389" s="959"/>
      <c r="F389" s="965">
        <f>SUM(F388)</f>
        <v>196757</v>
      </c>
      <c r="G389" s="956"/>
      <c r="H389" s="961"/>
      <c r="I389" s="962"/>
      <c r="J389" s="962"/>
      <c r="K389" s="962"/>
      <c r="L389" s="962"/>
      <c r="M389" s="962"/>
      <c r="N389" s="962"/>
    </row>
    <row r="390" spans="1:14" ht="15.6">
      <c r="A390" s="956"/>
      <c r="B390" s="957"/>
      <c r="C390" s="956"/>
      <c r="D390" s="958"/>
      <c r="E390" s="959"/>
      <c r="F390" s="964"/>
      <c r="G390" s="956"/>
      <c r="H390" s="961"/>
      <c r="I390" s="962"/>
      <c r="J390" s="962"/>
      <c r="K390" s="962"/>
      <c r="L390" s="962"/>
      <c r="M390" s="962"/>
      <c r="N390" s="962"/>
    </row>
    <row r="391" spans="1:14" ht="15.6">
      <c r="A391" s="956">
        <v>16</v>
      </c>
      <c r="B391" s="957" t="s">
        <v>621</v>
      </c>
      <c r="C391" s="956"/>
      <c r="D391" s="958">
        <v>3220</v>
      </c>
      <c r="E391" s="959">
        <v>45007</v>
      </c>
      <c r="F391" s="964">
        <v>202606</v>
      </c>
      <c r="G391" s="956">
        <v>30</v>
      </c>
      <c r="H391" s="961">
        <f t="shared" si="35"/>
        <v>45037</v>
      </c>
      <c r="I391" s="962">
        <f t="shared" si="36"/>
        <v>-20</v>
      </c>
      <c r="J391" s="962">
        <f t="shared" si="37"/>
        <v>202606</v>
      </c>
      <c r="K391" s="962">
        <f t="shared" si="38"/>
        <v>0</v>
      </c>
      <c r="L391" s="962">
        <f t="shared" si="39"/>
        <v>0</v>
      </c>
      <c r="M391" s="962">
        <f t="shared" si="40"/>
        <v>0</v>
      </c>
      <c r="N391" s="962">
        <f t="shared" si="41"/>
        <v>0</v>
      </c>
    </row>
    <row r="392" spans="1:14" ht="15.6">
      <c r="A392" s="956"/>
      <c r="B392" s="956"/>
      <c r="C392" s="956"/>
      <c r="D392" s="958">
        <v>3249</v>
      </c>
      <c r="E392" s="959">
        <v>45010</v>
      </c>
      <c r="F392" s="964">
        <v>107970</v>
      </c>
      <c r="G392" s="956">
        <v>30</v>
      </c>
      <c r="H392" s="961">
        <f t="shared" si="35"/>
        <v>45040</v>
      </c>
      <c r="I392" s="962">
        <f t="shared" si="36"/>
        <v>-23</v>
      </c>
      <c r="J392" s="962">
        <f t="shared" si="37"/>
        <v>107970</v>
      </c>
      <c r="K392" s="962">
        <f t="shared" si="38"/>
        <v>0</v>
      </c>
      <c r="L392" s="962">
        <f t="shared" si="39"/>
        <v>0</v>
      </c>
      <c r="M392" s="962">
        <f t="shared" si="40"/>
        <v>0</v>
      </c>
      <c r="N392" s="962">
        <f t="shared" si="41"/>
        <v>0</v>
      </c>
    </row>
    <row r="393" spans="1:14" ht="15.6">
      <c r="A393" s="956"/>
      <c r="B393" s="956"/>
      <c r="C393" s="956"/>
      <c r="D393" s="958">
        <v>3271</v>
      </c>
      <c r="E393" s="959">
        <v>45011</v>
      </c>
      <c r="F393" s="964">
        <v>204917</v>
      </c>
      <c r="G393" s="956">
        <v>30</v>
      </c>
      <c r="H393" s="961">
        <f t="shared" si="35"/>
        <v>45041</v>
      </c>
      <c r="I393" s="962">
        <f t="shared" si="36"/>
        <v>-24</v>
      </c>
      <c r="J393" s="962">
        <f t="shared" si="37"/>
        <v>204917</v>
      </c>
      <c r="K393" s="962">
        <f t="shared" si="38"/>
        <v>0</v>
      </c>
      <c r="L393" s="962">
        <f t="shared" si="39"/>
        <v>0</v>
      </c>
      <c r="M393" s="962">
        <f t="shared" si="40"/>
        <v>0</v>
      </c>
      <c r="N393" s="962">
        <f t="shared" si="41"/>
        <v>0</v>
      </c>
    </row>
    <row r="394" spans="1:14" ht="15.6">
      <c r="A394" s="956"/>
      <c r="B394" s="956"/>
      <c r="C394" s="956"/>
      <c r="D394" s="958"/>
      <c r="E394" s="959"/>
      <c r="F394" s="967">
        <f>SUM(F391:F393)</f>
        <v>515493</v>
      </c>
      <c r="G394" s="956"/>
      <c r="H394" s="961"/>
      <c r="I394" s="962"/>
      <c r="J394" s="962"/>
      <c r="K394" s="962"/>
      <c r="L394" s="962"/>
      <c r="M394" s="962"/>
      <c r="N394" s="962"/>
    </row>
    <row r="395" spans="1:14" ht="15.6">
      <c r="A395" s="956"/>
      <c r="B395" s="956"/>
      <c r="C395" s="956"/>
      <c r="D395" s="958"/>
      <c r="E395" s="959"/>
      <c r="F395" s="966"/>
      <c r="G395" s="956"/>
      <c r="H395" s="961"/>
      <c r="I395" s="962"/>
      <c r="J395" s="962"/>
      <c r="K395" s="962"/>
      <c r="L395" s="962"/>
      <c r="M395" s="962"/>
      <c r="N395" s="962"/>
    </row>
    <row r="396" spans="1:14" ht="15.6">
      <c r="A396" s="956">
        <v>17</v>
      </c>
      <c r="B396" s="957" t="s">
        <v>44</v>
      </c>
      <c r="C396" s="956"/>
      <c r="D396" s="958">
        <v>2896</v>
      </c>
      <c r="E396" s="959">
        <v>44971</v>
      </c>
      <c r="F396" s="966">
        <v>87784</v>
      </c>
      <c r="G396" s="956">
        <v>30</v>
      </c>
      <c r="H396" s="961">
        <f t="shared" si="35"/>
        <v>45001</v>
      </c>
      <c r="I396" s="962">
        <f t="shared" si="36"/>
        <v>16</v>
      </c>
      <c r="J396" s="962">
        <f t="shared" si="37"/>
        <v>87784</v>
      </c>
      <c r="K396" s="962">
        <f t="shared" si="38"/>
        <v>0</v>
      </c>
      <c r="L396" s="962">
        <f t="shared" si="39"/>
        <v>0</v>
      </c>
      <c r="M396" s="962">
        <f t="shared" si="40"/>
        <v>0</v>
      </c>
      <c r="N396" s="962">
        <f t="shared" si="41"/>
        <v>0</v>
      </c>
    </row>
    <row r="397" spans="1:14" ht="15.6">
      <c r="A397" s="956"/>
      <c r="B397" s="956"/>
      <c r="C397" s="956"/>
      <c r="D397" s="958">
        <v>2903</v>
      </c>
      <c r="E397" s="959">
        <v>44972</v>
      </c>
      <c r="F397" s="966">
        <v>45087</v>
      </c>
      <c r="G397" s="956">
        <v>30</v>
      </c>
      <c r="H397" s="961">
        <f t="shared" si="35"/>
        <v>45002</v>
      </c>
      <c r="I397" s="962">
        <f t="shared" si="36"/>
        <v>15</v>
      </c>
      <c r="J397" s="962">
        <f t="shared" si="37"/>
        <v>45087</v>
      </c>
      <c r="K397" s="962">
        <f t="shared" si="38"/>
        <v>0</v>
      </c>
      <c r="L397" s="962">
        <f t="shared" si="39"/>
        <v>0</v>
      </c>
      <c r="M397" s="962">
        <f t="shared" si="40"/>
        <v>0</v>
      </c>
      <c r="N397" s="962">
        <f t="shared" si="41"/>
        <v>0</v>
      </c>
    </row>
    <row r="398" spans="1:14" ht="15.6">
      <c r="A398" s="956"/>
      <c r="B398" s="956"/>
      <c r="C398" s="956"/>
      <c r="D398" s="958">
        <v>2904</v>
      </c>
      <c r="E398" s="959">
        <v>44972</v>
      </c>
      <c r="F398" s="966">
        <v>99617</v>
      </c>
      <c r="G398" s="956">
        <v>30</v>
      </c>
      <c r="H398" s="961">
        <f t="shared" si="35"/>
        <v>45002</v>
      </c>
      <c r="I398" s="962">
        <f t="shared" si="36"/>
        <v>15</v>
      </c>
      <c r="J398" s="962">
        <f t="shared" si="37"/>
        <v>99617</v>
      </c>
      <c r="K398" s="962">
        <f t="shared" si="38"/>
        <v>0</v>
      </c>
      <c r="L398" s="962">
        <f t="shared" si="39"/>
        <v>0</v>
      </c>
      <c r="M398" s="962">
        <f t="shared" si="40"/>
        <v>0</v>
      </c>
      <c r="N398" s="962">
        <f t="shared" si="41"/>
        <v>0</v>
      </c>
    </row>
    <row r="399" spans="1:14" ht="15.6">
      <c r="A399" s="956"/>
      <c r="B399" s="956"/>
      <c r="C399" s="956"/>
      <c r="D399" s="958">
        <v>2905</v>
      </c>
      <c r="E399" s="959">
        <v>44972</v>
      </c>
      <c r="F399" s="966">
        <v>135708</v>
      </c>
      <c r="G399" s="956">
        <v>30</v>
      </c>
      <c r="H399" s="961">
        <f t="shared" si="35"/>
        <v>45002</v>
      </c>
      <c r="I399" s="962">
        <f t="shared" si="36"/>
        <v>15</v>
      </c>
      <c r="J399" s="962">
        <f t="shared" si="37"/>
        <v>135708</v>
      </c>
      <c r="K399" s="962">
        <f t="shared" si="38"/>
        <v>0</v>
      </c>
      <c r="L399" s="962">
        <f t="shared" si="39"/>
        <v>0</v>
      </c>
      <c r="M399" s="962">
        <f t="shared" si="40"/>
        <v>0</v>
      </c>
      <c r="N399" s="962">
        <f t="shared" si="41"/>
        <v>0</v>
      </c>
    </row>
    <row r="400" spans="1:14" ht="15.6">
      <c r="A400" s="956"/>
      <c r="B400" s="956"/>
      <c r="C400" s="956"/>
      <c r="D400" s="958">
        <v>2929</v>
      </c>
      <c r="E400" s="959">
        <v>44974</v>
      </c>
      <c r="F400" s="966">
        <v>304313</v>
      </c>
      <c r="G400" s="956">
        <v>30</v>
      </c>
      <c r="H400" s="961">
        <f t="shared" si="35"/>
        <v>45004</v>
      </c>
      <c r="I400" s="962">
        <f t="shared" si="36"/>
        <v>13</v>
      </c>
      <c r="J400" s="962">
        <f t="shared" si="37"/>
        <v>304313</v>
      </c>
      <c r="K400" s="962">
        <f t="shared" si="38"/>
        <v>0</v>
      </c>
      <c r="L400" s="962">
        <f t="shared" si="39"/>
        <v>0</v>
      </c>
      <c r="M400" s="962">
        <f t="shared" si="40"/>
        <v>0</v>
      </c>
      <c r="N400" s="962">
        <f t="shared" si="41"/>
        <v>0</v>
      </c>
    </row>
    <row r="401" spans="1:14" ht="15.6">
      <c r="A401" s="956"/>
      <c r="B401" s="956"/>
      <c r="C401" s="956"/>
      <c r="D401" s="958">
        <v>2935</v>
      </c>
      <c r="E401" s="959">
        <v>44975</v>
      </c>
      <c r="F401" s="966">
        <v>309078</v>
      </c>
      <c r="G401" s="956">
        <v>30</v>
      </c>
      <c r="H401" s="961">
        <f t="shared" si="35"/>
        <v>45005</v>
      </c>
      <c r="I401" s="962">
        <f t="shared" si="36"/>
        <v>12</v>
      </c>
      <c r="J401" s="962">
        <f t="shared" si="37"/>
        <v>309078</v>
      </c>
      <c r="K401" s="962">
        <f t="shared" si="38"/>
        <v>0</v>
      </c>
      <c r="L401" s="962">
        <f t="shared" si="39"/>
        <v>0</v>
      </c>
      <c r="M401" s="962">
        <f t="shared" si="40"/>
        <v>0</v>
      </c>
      <c r="N401" s="962">
        <f t="shared" si="41"/>
        <v>0</v>
      </c>
    </row>
    <row r="402" spans="1:14" ht="15.6">
      <c r="A402" s="956"/>
      <c r="B402" s="956"/>
      <c r="C402" s="956"/>
      <c r="D402" s="958">
        <v>2954</v>
      </c>
      <c r="E402" s="959">
        <v>44977</v>
      </c>
      <c r="F402" s="966">
        <v>401426</v>
      </c>
      <c r="G402" s="956">
        <v>30</v>
      </c>
      <c r="H402" s="961">
        <f t="shared" si="35"/>
        <v>45007</v>
      </c>
      <c r="I402" s="962">
        <f t="shared" si="36"/>
        <v>10</v>
      </c>
      <c r="J402" s="962">
        <f t="shared" si="37"/>
        <v>401426</v>
      </c>
      <c r="K402" s="962">
        <f t="shared" si="38"/>
        <v>0</v>
      </c>
      <c r="L402" s="962">
        <f t="shared" si="39"/>
        <v>0</v>
      </c>
      <c r="M402" s="962">
        <f t="shared" si="40"/>
        <v>0</v>
      </c>
      <c r="N402" s="962">
        <f t="shared" si="41"/>
        <v>0</v>
      </c>
    </row>
    <row r="403" spans="1:14" ht="15.6">
      <c r="A403" s="956"/>
      <c r="B403" s="956"/>
      <c r="C403" s="956"/>
      <c r="D403" s="968">
        <v>2959</v>
      </c>
      <c r="E403" s="969">
        <v>44977</v>
      </c>
      <c r="F403" s="966">
        <v>137280</v>
      </c>
      <c r="G403" s="956">
        <v>30</v>
      </c>
      <c r="H403" s="961">
        <f t="shared" si="35"/>
        <v>45007</v>
      </c>
      <c r="I403" s="962">
        <f t="shared" si="36"/>
        <v>10</v>
      </c>
      <c r="J403" s="962">
        <f t="shared" si="37"/>
        <v>137280</v>
      </c>
      <c r="K403" s="962">
        <f t="shared" si="38"/>
        <v>0</v>
      </c>
      <c r="L403" s="962">
        <f t="shared" si="39"/>
        <v>0</v>
      </c>
      <c r="M403" s="962">
        <f t="shared" si="40"/>
        <v>0</v>
      </c>
      <c r="N403" s="962">
        <f t="shared" si="41"/>
        <v>0</v>
      </c>
    </row>
    <row r="404" spans="1:14" ht="15.6">
      <c r="A404" s="956"/>
      <c r="B404" s="956"/>
      <c r="C404" s="956"/>
      <c r="D404" s="958">
        <v>2996</v>
      </c>
      <c r="E404" s="959">
        <v>44980</v>
      </c>
      <c r="F404" s="966">
        <v>409255</v>
      </c>
      <c r="G404" s="956">
        <v>30</v>
      </c>
      <c r="H404" s="961">
        <f t="shared" si="35"/>
        <v>45010</v>
      </c>
      <c r="I404" s="962">
        <f t="shared" si="36"/>
        <v>7</v>
      </c>
      <c r="J404" s="962">
        <f t="shared" si="37"/>
        <v>409255</v>
      </c>
      <c r="K404" s="962">
        <f t="shared" si="38"/>
        <v>0</v>
      </c>
      <c r="L404" s="962">
        <f t="shared" si="39"/>
        <v>0</v>
      </c>
      <c r="M404" s="962">
        <f t="shared" si="40"/>
        <v>0</v>
      </c>
      <c r="N404" s="962">
        <f t="shared" si="41"/>
        <v>0</v>
      </c>
    </row>
    <row r="405" spans="1:14" ht="15.6">
      <c r="A405" s="956"/>
      <c r="B405" s="956"/>
      <c r="C405" s="956"/>
      <c r="D405" s="958">
        <v>3040</v>
      </c>
      <c r="E405" s="959">
        <v>44986</v>
      </c>
      <c r="F405" s="964">
        <v>172974</v>
      </c>
      <c r="G405" s="956">
        <v>30</v>
      </c>
      <c r="H405" s="961">
        <f t="shared" si="35"/>
        <v>45016</v>
      </c>
      <c r="I405" s="962">
        <f t="shared" si="36"/>
        <v>1</v>
      </c>
      <c r="J405" s="962">
        <f t="shared" si="37"/>
        <v>172974</v>
      </c>
      <c r="K405" s="962">
        <f t="shared" si="38"/>
        <v>0</v>
      </c>
      <c r="L405" s="962">
        <f t="shared" si="39"/>
        <v>0</v>
      </c>
      <c r="M405" s="962">
        <f t="shared" si="40"/>
        <v>0</v>
      </c>
      <c r="N405" s="962">
        <f t="shared" si="41"/>
        <v>0</v>
      </c>
    </row>
    <row r="406" spans="1:14" ht="15.6">
      <c r="A406" s="956"/>
      <c r="B406" s="956"/>
      <c r="C406" s="956"/>
      <c r="D406" s="958">
        <v>3089</v>
      </c>
      <c r="E406" s="959">
        <v>44993</v>
      </c>
      <c r="F406" s="964">
        <v>92702</v>
      </c>
      <c r="G406" s="956">
        <v>30</v>
      </c>
      <c r="H406" s="961">
        <f t="shared" si="35"/>
        <v>45023</v>
      </c>
      <c r="I406" s="962">
        <f t="shared" si="36"/>
        <v>-6</v>
      </c>
      <c r="J406" s="962">
        <f t="shared" si="37"/>
        <v>92702</v>
      </c>
      <c r="K406" s="962">
        <f t="shared" si="38"/>
        <v>0</v>
      </c>
      <c r="L406" s="962">
        <f t="shared" si="39"/>
        <v>0</v>
      </c>
      <c r="M406" s="962">
        <f t="shared" si="40"/>
        <v>0</v>
      </c>
      <c r="N406" s="962">
        <f t="shared" si="41"/>
        <v>0</v>
      </c>
    </row>
    <row r="407" spans="1:14" ht="15.6">
      <c r="A407" s="956"/>
      <c r="B407" s="956"/>
      <c r="C407" s="956"/>
      <c r="D407" s="958">
        <v>3100</v>
      </c>
      <c r="E407" s="959">
        <v>44994</v>
      </c>
      <c r="F407" s="964">
        <v>299686</v>
      </c>
      <c r="G407" s="956">
        <v>30</v>
      </c>
      <c r="H407" s="961">
        <f t="shared" si="35"/>
        <v>45024</v>
      </c>
      <c r="I407" s="962">
        <f t="shared" si="36"/>
        <v>-7</v>
      </c>
      <c r="J407" s="962">
        <f t="shared" si="37"/>
        <v>299686</v>
      </c>
      <c r="K407" s="962">
        <f t="shared" si="38"/>
        <v>0</v>
      </c>
      <c r="L407" s="962">
        <f t="shared" si="39"/>
        <v>0</v>
      </c>
      <c r="M407" s="962">
        <f t="shared" si="40"/>
        <v>0</v>
      </c>
      <c r="N407" s="962">
        <f t="shared" si="41"/>
        <v>0</v>
      </c>
    </row>
    <row r="408" spans="1:14" ht="15.6">
      <c r="A408" s="956"/>
      <c r="B408" s="956"/>
      <c r="C408" s="956"/>
      <c r="D408" s="958">
        <v>3107</v>
      </c>
      <c r="E408" s="959">
        <v>44995</v>
      </c>
      <c r="F408" s="964">
        <v>265848</v>
      </c>
      <c r="G408" s="956">
        <v>30</v>
      </c>
      <c r="H408" s="961">
        <f t="shared" si="35"/>
        <v>45025</v>
      </c>
      <c r="I408" s="962">
        <f t="shared" si="36"/>
        <v>-8</v>
      </c>
      <c r="J408" s="962">
        <f t="shared" si="37"/>
        <v>265848</v>
      </c>
      <c r="K408" s="962">
        <f t="shared" si="38"/>
        <v>0</v>
      </c>
      <c r="L408" s="962">
        <f t="shared" si="39"/>
        <v>0</v>
      </c>
      <c r="M408" s="962">
        <f t="shared" si="40"/>
        <v>0</v>
      </c>
      <c r="N408" s="962">
        <f t="shared" si="41"/>
        <v>0</v>
      </c>
    </row>
    <row r="409" spans="1:14" ht="15.6">
      <c r="A409" s="956"/>
      <c r="B409" s="956"/>
      <c r="C409" s="956"/>
      <c r="D409" s="958">
        <v>3113</v>
      </c>
      <c r="E409" s="959">
        <v>44995</v>
      </c>
      <c r="F409" s="964">
        <v>266824</v>
      </c>
      <c r="G409" s="956">
        <v>30</v>
      </c>
      <c r="H409" s="961">
        <f t="shared" si="35"/>
        <v>45025</v>
      </c>
      <c r="I409" s="962">
        <f t="shared" si="36"/>
        <v>-8</v>
      </c>
      <c r="J409" s="962">
        <f t="shared" si="37"/>
        <v>266824</v>
      </c>
      <c r="K409" s="962">
        <f t="shared" si="38"/>
        <v>0</v>
      </c>
      <c r="L409" s="962">
        <f t="shared" si="39"/>
        <v>0</v>
      </c>
      <c r="M409" s="962">
        <f t="shared" si="40"/>
        <v>0</v>
      </c>
      <c r="N409" s="962">
        <f t="shared" si="41"/>
        <v>0</v>
      </c>
    </row>
    <row r="410" spans="1:14" ht="15.6">
      <c r="A410" s="956"/>
      <c r="B410" s="956"/>
      <c r="C410" s="956"/>
      <c r="D410" s="958">
        <v>3127</v>
      </c>
      <c r="E410" s="959">
        <v>44996</v>
      </c>
      <c r="F410" s="964">
        <v>289862</v>
      </c>
      <c r="G410" s="956">
        <v>30</v>
      </c>
      <c r="H410" s="961">
        <f t="shared" si="35"/>
        <v>45026</v>
      </c>
      <c r="I410" s="962">
        <f t="shared" si="36"/>
        <v>-9</v>
      </c>
      <c r="J410" s="962">
        <f t="shared" si="37"/>
        <v>289862</v>
      </c>
      <c r="K410" s="962">
        <f t="shared" si="38"/>
        <v>0</v>
      </c>
      <c r="L410" s="962">
        <f t="shared" si="39"/>
        <v>0</v>
      </c>
      <c r="M410" s="962">
        <f t="shared" si="40"/>
        <v>0</v>
      </c>
      <c r="N410" s="962">
        <f t="shared" si="41"/>
        <v>0</v>
      </c>
    </row>
    <row r="411" spans="1:14" ht="15.6">
      <c r="A411" s="956"/>
      <c r="B411" s="956"/>
      <c r="C411" s="956"/>
      <c r="D411" s="958">
        <v>3135</v>
      </c>
      <c r="E411" s="959">
        <v>44997</v>
      </c>
      <c r="F411" s="964">
        <v>217251</v>
      </c>
      <c r="G411" s="956">
        <v>30</v>
      </c>
      <c r="H411" s="961">
        <f t="shared" si="35"/>
        <v>45027</v>
      </c>
      <c r="I411" s="962">
        <f t="shared" si="36"/>
        <v>-10</v>
      </c>
      <c r="J411" s="962">
        <f t="shared" si="37"/>
        <v>217251</v>
      </c>
      <c r="K411" s="962">
        <f t="shared" si="38"/>
        <v>0</v>
      </c>
      <c r="L411" s="962">
        <f t="shared" si="39"/>
        <v>0</v>
      </c>
      <c r="M411" s="962">
        <f t="shared" si="40"/>
        <v>0</v>
      </c>
      <c r="N411" s="962">
        <f t="shared" si="41"/>
        <v>0</v>
      </c>
    </row>
    <row r="412" spans="1:14" ht="15.6">
      <c r="A412" s="956"/>
      <c r="B412" s="956"/>
      <c r="C412" s="956"/>
      <c r="D412" s="958">
        <v>3145</v>
      </c>
      <c r="E412" s="959">
        <v>44999</v>
      </c>
      <c r="F412" s="964">
        <v>167504</v>
      </c>
      <c r="G412" s="956">
        <v>30</v>
      </c>
      <c r="H412" s="961">
        <f t="shared" si="35"/>
        <v>45029</v>
      </c>
      <c r="I412" s="962">
        <f t="shared" si="36"/>
        <v>-12</v>
      </c>
      <c r="J412" s="962">
        <f t="shared" si="37"/>
        <v>167504</v>
      </c>
      <c r="K412" s="962">
        <f t="shared" si="38"/>
        <v>0</v>
      </c>
      <c r="L412" s="962">
        <f t="shared" si="39"/>
        <v>0</v>
      </c>
      <c r="M412" s="962">
        <f t="shared" si="40"/>
        <v>0</v>
      </c>
      <c r="N412" s="962">
        <f t="shared" si="41"/>
        <v>0</v>
      </c>
    </row>
    <row r="413" spans="1:14" ht="15.6">
      <c r="A413" s="956"/>
      <c r="B413" s="956"/>
      <c r="C413" s="956"/>
      <c r="D413" s="958">
        <v>3155</v>
      </c>
      <c r="E413" s="959">
        <v>45000</v>
      </c>
      <c r="F413" s="964">
        <v>272882</v>
      </c>
      <c r="G413" s="956">
        <v>30</v>
      </c>
      <c r="H413" s="961">
        <f t="shared" si="35"/>
        <v>45030</v>
      </c>
      <c r="I413" s="962">
        <f t="shared" si="36"/>
        <v>-13</v>
      </c>
      <c r="J413" s="962">
        <f t="shared" si="37"/>
        <v>272882</v>
      </c>
      <c r="K413" s="962">
        <f t="shared" si="38"/>
        <v>0</v>
      </c>
      <c r="L413" s="962">
        <f t="shared" si="39"/>
        <v>0</v>
      </c>
      <c r="M413" s="962">
        <f t="shared" si="40"/>
        <v>0</v>
      </c>
      <c r="N413" s="962">
        <f t="shared" si="41"/>
        <v>0</v>
      </c>
    </row>
    <row r="414" spans="1:14" ht="15.6">
      <c r="A414" s="956"/>
      <c r="B414" s="956"/>
      <c r="C414" s="956"/>
      <c r="D414" s="958">
        <v>3159</v>
      </c>
      <c r="E414" s="959">
        <v>45000</v>
      </c>
      <c r="F414" s="964">
        <v>274940</v>
      </c>
      <c r="G414" s="956">
        <v>30</v>
      </c>
      <c r="H414" s="961">
        <f t="shared" si="35"/>
        <v>45030</v>
      </c>
      <c r="I414" s="962">
        <f t="shared" si="36"/>
        <v>-13</v>
      </c>
      <c r="J414" s="962">
        <f t="shared" si="37"/>
        <v>274940</v>
      </c>
      <c r="K414" s="962">
        <f t="shared" si="38"/>
        <v>0</v>
      </c>
      <c r="L414" s="962">
        <f t="shared" si="39"/>
        <v>0</v>
      </c>
      <c r="M414" s="962">
        <f t="shared" si="40"/>
        <v>0</v>
      </c>
      <c r="N414" s="962">
        <f t="shared" si="41"/>
        <v>0</v>
      </c>
    </row>
    <row r="415" spans="1:14" ht="15.6">
      <c r="A415" s="956"/>
      <c r="B415" s="956"/>
      <c r="C415" s="956"/>
      <c r="D415" s="958">
        <v>3183</v>
      </c>
      <c r="E415" s="959">
        <v>45003</v>
      </c>
      <c r="F415" s="964">
        <v>320658</v>
      </c>
      <c r="G415" s="956">
        <v>30</v>
      </c>
      <c r="H415" s="961">
        <f t="shared" si="35"/>
        <v>45033</v>
      </c>
      <c r="I415" s="962">
        <f t="shared" si="36"/>
        <v>-16</v>
      </c>
      <c r="J415" s="962">
        <f t="shared" si="37"/>
        <v>320658</v>
      </c>
      <c r="K415" s="962">
        <f t="shared" si="38"/>
        <v>0</v>
      </c>
      <c r="L415" s="962">
        <f t="shared" si="39"/>
        <v>0</v>
      </c>
      <c r="M415" s="962">
        <f t="shared" si="40"/>
        <v>0</v>
      </c>
      <c r="N415" s="962">
        <f t="shared" si="41"/>
        <v>0</v>
      </c>
    </row>
    <row r="416" spans="1:14" ht="15.6">
      <c r="A416" s="956"/>
      <c r="B416" s="956"/>
      <c r="C416" s="956"/>
      <c r="D416" s="958">
        <v>3197</v>
      </c>
      <c r="E416" s="959">
        <v>45004</v>
      </c>
      <c r="F416" s="964">
        <v>81399</v>
      </c>
      <c r="G416" s="956">
        <v>30</v>
      </c>
      <c r="H416" s="961">
        <f t="shared" si="35"/>
        <v>45034</v>
      </c>
      <c r="I416" s="962">
        <f t="shared" si="36"/>
        <v>-17</v>
      </c>
      <c r="J416" s="962">
        <f t="shared" si="37"/>
        <v>81399</v>
      </c>
      <c r="K416" s="962">
        <f t="shared" si="38"/>
        <v>0</v>
      </c>
      <c r="L416" s="962">
        <f t="shared" si="39"/>
        <v>0</v>
      </c>
      <c r="M416" s="962">
        <f t="shared" si="40"/>
        <v>0</v>
      </c>
      <c r="N416" s="962">
        <f t="shared" si="41"/>
        <v>0</v>
      </c>
    </row>
    <row r="417" spans="1:14" ht="15.6">
      <c r="A417" s="956"/>
      <c r="B417" s="956"/>
      <c r="C417" s="956"/>
      <c r="D417" s="958">
        <v>3198</v>
      </c>
      <c r="E417" s="959">
        <v>45004</v>
      </c>
      <c r="F417" s="964">
        <v>95831</v>
      </c>
      <c r="G417" s="956">
        <v>30</v>
      </c>
      <c r="H417" s="961">
        <f t="shared" si="35"/>
        <v>45034</v>
      </c>
      <c r="I417" s="962">
        <f t="shared" si="36"/>
        <v>-17</v>
      </c>
      <c r="J417" s="962">
        <f t="shared" si="37"/>
        <v>95831</v>
      </c>
      <c r="K417" s="962">
        <f t="shared" si="38"/>
        <v>0</v>
      </c>
      <c r="L417" s="962">
        <f t="shared" si="39"/>
        <v>0</v>
      </c>
      <c r="M417" s="962">
        <f t="shared" si="40"/>
        <v>0</v>
      </c>
      <c r="N417" s="962">
        <f t="shared" si="41"/>
        <v>0</v>
      </c>
    </row>
    <row r="418" spans="1:14" ht="15.6">
      <c r="A418" s="956"/>
      <c r="B418" s="956"/>
      <c r="C418" s="956"/>
      <c r="D418" s="958">
        <v>3209</v>
      </c>
      <c r="E418" s="959">
        <v>45006</v>
      </c>
      <c r="F418" s="964">
        <v>274105</v>
      </c>
      <c r="G418" s="956">
        <v>30</v>
      </c>
      <c r="H418" s="961">
        <f t="shared" si="35"/>
        <v>45036</v>
      </c>
      <c r="I418" s="962">
        <f t="shared" si="36"/>
        <v>-19</v>
      </c>
      <c r="J418" s="962">
        <f t="shared" si="37"/>
        <v>274105</v>
      </c>
      <c r="K418" s="962">
        <f t="shared" si="38"/>
        <v>0</v>
      </c>
      <c r="L418" s="962">
        <f t="shared" si="39"/>
        <v>0</v>
      </c>
      <c r="M418" s="962">
        <f t="shared" si="40"/>
        <v>0</v>
      </c>
      <c r="N418" s="962">
        <f t="shared" si="41"/>
        <v>0</v>
      </c>
    </row>
    <row r="419" spans="1:14" ht="15.6">
      <c r="A419" s="956"/>
      <c r="B419" s="956"/>
      <c r="C419" s="956"/>
      <c r="D419" s="958">
        <v>3236</v>
      </c>
      <c r="E419" s="959">
        <v>45008</v>
      </c>
      <c r="F419" s="964">
        <v>246734</v>
      </c>
      <c r="G419" s="956">
        <v>30</v>
      </c>
      <c r="H419" s="961">
        <f t="shared" si="35"/>
        <v>45038</v>
      </c>
      <c r="I419" s="962">
        <f t="shared" si="36"/>
        <v>-21</v>
      </c>
      <c r="J419" s="962">
        <f t="shared" si="37"/>
        <v>246734</v>
      </c>
      <c r="K419" s="962">
        <f t="shared" si="38"/>
        <v>0</v>
      </c>
      <c r="L419" s="962">
        <f t="shared" si="39"/>
        <v>0</v>
      </c>
      <c r="M419" s="962">
        <f t="shared" si="40"/>
        <v>0</v>
      </c>
      <c r="N419" s="962">
        <f t="shared" si="41"/>
        <v>0</v>
      </c>
    </row>
    <row r="420" spans="1:14" ht="15.6">
      <c r="A420" s="956"/>
      <c r="B420" s="956"/>
      <c r="C420" s="956"/>
      <c r="D420" s="958">
        <v>3270</v>
      </c>
      <c r="E420" s="959">
        <v>45011</v>
      </c>
      <c r="F420" s="964">
        <v>34924</v>
      </c>
      <c r="G420" s="956">
        <v>30</v>
      </c>
      <c r="H420" s="961">
        <f t="shared" si="35"/>
        <v>45041</v>
      </c>
      <c r="I420" s="962">
        <f t="shared" si="36"/>
        <v>-24</v>
      </c>
      <c r="J420" s="962">
        <f t="shared" si="37"/>
        <v>34924</v>
      </c>
      <c r="K420" s="962">
        <f t="shared" si="38"/>
        <v>0</v>
      </c>
      <c r="L420" s="962">
        <f t="shared" si="39"/>
        <v>0</v>
      </c>
      <c r="M420" s="962">
        <f t="shared" si="40"/>
        <v>0</v>
      </c>
      <c r="N420" s="962">
        <f t="shared" si="41"/>
        <v>0</v>
      </c>
    </row>
    <row r="421" spans="1:14" ht="15.6">
      <c r="A421" s="956"/>
      <c r="B421" s="956"/>
      <c r="C421" s="956"/>
      <c r="D421" s="958">
        <v>3302</v>
      </c>
      <c r="E421" s="959">
        <v>45015</v>
      </c>
      <c r="F421" s="964">
        <v>310062</v>
      </c>
      <c r="G421" s="956">
        <v>30</v>
      </c>
      <c r="H421" s="961">
        <f t="shared" si="35"/>
        <v>45045</v>
      </c>
      <c r="I421" s="962">
        <f t="shared" si="36"/>
        <v>-28</v>
      </c>
      <c r="J421" s="962">
        <f t="shared" si="37"/>
        <v>310062</v>
      </c>
      <c r="K421" s="962">
        <f t="shared" si="38"/>
        <v>0</v>
      </c>
      <c r="L421" s="962">
        <f t="shared" si="39"/>
        <v>0</v>
      </c>
      <c r="M421" s="962">
        <f t="shared" si="40"/>
        <v>0</v>
      </c>
      <c r="N421" s="962">
        <f t="shared" si="41"/>
        <v>0</v>
      </c>
    </row>
    <row r="422" spans="1:14" ht="15.6">
      <c r="A422" s="956"/>
      <c r="B422" s="956"/>
      <c r="C422" s="956"/>
      <c r="D422" s="958" t="s">
        <v>2113</v>
      </c>
      <c r="E422" s="959"/>
      <c r="F422" s="966">
        <v>221</v>
      </c>
      <c r="G422" s="956">
        <v>30</v>
      </c>
      <c r="H422" s="961"/>
      <c r="I422" s="962"/>
      <c r="J422" s="962">
        <v>221</v>
      </c>
      <c r="K422" s="962"/>
      <c r="L422" s="962"/>
      <c r="M422" s="962"/>
      <c r="N422" s="962"/>
    </row>
    <row r="423" spans="1:14" ht="15.6">
      <c r="A423" s="956"/>
      <c r="B423" s="956"/>
      <c r="C423" s="956"/>
      <c r="D423" s="958"/>
      <c r="E423" s="959"/>
      <c r="F423" s="967">
        <f>SUM(F396:F422)</f>
        <v>5613955</v>
      </c>
      <c r="G423" s="956"/>
      <c r="H423" s="961"/>
      <c r="I423" s="962"/>
      <c r="J423" s="962"/>
      <c r="K423" s="962"/>
      <c r="L423" s="962"/>
      <c r="M423" s="962"/>
      <c r="N423" s="962"/>
    </row>
    <row r="424" spans="1:14" ht="15.6">
      <c r="A424" s="956"/>
      <c r="B424" s="956"/>
      <c r="C424" s="956"/>
      <c r="D424" s="958"/>
      <c r="E424" s="959"/>
      <c r="F424" s="966"/>
      <c r="G424" s="956"/>
      <c r="H424" s="961"/>
      <c r="I424" s="962"/>
      <c r="J424" s="962"/>
      <c r="K424" s="962"/>
      <c r="L424" s="962"/>
      <c r="M424" s="962"/>
      <c r="N424" s="962"/>
    </row>
    <row r="425" spans="1:14" ht="15.6">
      <c r="A425" s="956">
        <v>18</v>
      </c>
      <c r="B425" s="957" t="s">
        <v>384</v>
      </c>
      <c r="C425" s="956"/>
      <c r="D425" s="958">
        <v>2977</v>
      </c>
      <c r="E425" s="959">
        <v>44979</v>
      </c>
      <c r="F425" s="966">
        <v>198705</v>
      </c>
      <c r="G425" s="956">
        <v>30</v>
      </c>
      <c r="H425" s="961">
        <f t="shared" si="35"/>
        <v>45009</v>
      </c>
      <c r="I425" s="962">
        <f t="shared" si="36"/>
        <v>8</v>
      </c>
      <c r="J425" s="962">
        <f t="shared" si="37"/>
        <v>198705</v>
      </c>
      <c r="K425" s="962">
        <f t="shared" si="38"/>
        <v>0</v>
      </c>
      <c r="L425" s="962">
        <f t="shared" si="39"/>
        <v>0</v>
      </c>
      <c r="M425" s="962">
        <f t="shared" si="40"/>
        <v>0</v>
      </c>
      <c r="N425" s="962">
        <f t="shared" si="41"/>
        <v>0</v>
      </c>
    </row>
    <row r="426" spans="1:14" ht="15.6">
      <c r="A426" s="956"/>
      <c r="B426" s="956"/>
      <c r="C426" s="956"/>
      <c r="D426" s="958">
        <v>3081</v>
      </c>
      <c r="E426" s="959">
        <v>44991</v>
      </c>
      <c r="F426" s="964">
        <v>321868</v>
      </c>
      <c r="G426" s="956">
        <v>30</v>
      </c>
      <c r="H426" s="961">
        <f t="shared" si="35"/>
        <v>45021</v>
      </c>
      <c r="I426" s="962">
        <f t="shared" si="36"/>
        <v>-4</v>
      </c>
      <c r="J426" s="962">
        <f t="shared" si="37"/>
        <v>321868</v>
      </c>
      <c r="K426" s="962">
        <f t="shared" si="38"/>
        <v>0</v>
      </c>
      <c r="L426" s="962">
        <f t="shared" si="39"/>
        <v>0</v>
      </c>
      <c r="M426" s="962">
        <f t="shared" si="40"/>
        <v>0</v>
      </c>
      <c r="N426" s="962">
        <f t="shared" si="41"/>
        <v>0</v>
      </c>
    </row>
    <row r="427" spans="1:14" ht="15.6">
      <c r="A427" s="956"/>
      <c r="B427" s="956"/>
      <c r="C427" s="956"/>
      <c r="D427" s="958">
        <v>3083</v>
      </c>
      <c r="E427" s="959">
        <v>44991</v>
      </c>
      <c r="F427" s="964">
        <v>55198</v>
      </c>
      <c r="G427" s="956">
        <v>30</v>
      </c>
      <c r="H427" s="961">
        <f t="shared" si="35"/>
        <v>45021</v>
      </c>
      <c r="I427" s="962">
        <f t="shared" si="36"/>
        <v>-4</v>
      </c>
      <c r="J427" s="962">
        <f t="shared" si="37"/>
        <v>55198</v>
      </c>
      <c r="K427" s="962">
        <f t="shared" si="38"/>
        <v>0</v>
      </c>
      <c r="L427" s="962">
        <f t="shared" si="39"/>
        <v>0</v>
      </c>
      <c r="M427" s="962">
        <f t="shared" si="40"/>
        <v>0</v>
      </c>
      <c r="N427" s="962">
        <f t="shared" si="41"/>
        <v>0</v>
      </c>
    </row>
    <row r="428" spans="1:14" ht="15.6">
      <c r="A428" s="956"/>
      <c r="B428" s="956"/>
      <c r="C428" s="956"/>
      <c r="D428" s="958">
        <v>3239</v>
      </c>
      <c r="E428" s="959">
        <v>45008</v>
      </c>
      <c r="F428" s="964">
        <v>310573</v>
      </c>
      <c r="G428" s="956">
        <v>30</v>
      </c>
      <c r="H428" s="961">
        <f t="shared" si="35"/>
        <v>45038</v>
      </c>
      <c r="I428" s="962">
        <f t="shared" si="36"/>
        <v>-21</v>
      </c>
      <c r="J428" s="962">
        <f t="shared" si="37"/>
        <v>310573</v>
      </c>
      <c r="K428" s="962">
        <f t="shared" si="38"/>
        <v>0</v>
      </c>
      <c r="L428" s="962">
        <f t="shared" si="39"/>
        <v>0</v>
      </c>
      <c r="M428" s="962">
        <f t="shared" si="40"/>
        <v>0</v>
      </c>
      <c r="N428" s="962">
        <f t="shared" si="41"/>
        <v>0</v>
      </c>
    </row>
    <row r="429" spans="1:14" ht="15.6">
      <c r="A429" s="956"/>
      <c r="B429" s="956"/>
      <c r="C429" s="956"/>
      <c r="D429" s="958"/>
      <c r="E429" s="959"/>
      <c r="F429" s="967">
        <f>SUM(F425:F428)</f>
        <v>886344</v>
      </c>
      <c r="G429" s="956"/>
      <c r="H429" s="961"/>
      <c r="I429" s="962"/>
      <c r="J429" s="962"/>
      <c r="K429" s="962"/>
      <c r="L429" s="962"/>
      <c r="M429" s="962"/>
      <c r="N429" s="962"/>
    </row>
    <row r="430" spans="1:14" ht="15.6">
      <c r="A430" s="956"/>
      <c r="B430" s="956"/>
      <c r="C430" s="956"/>
      <c r="D430" s="958"/>
      <c r="E430" s="959"/>
      <c r="F430" s="966"/>
      <c r="G430" s="956"/>
      <c r="H430" s="961"/>
      <c r="I430" s="962"/>
      <c r="J430" s="962"/>
      <c r="K430" s="962"/>
      <c r="L430" s="962"/>
      <c r="M430" s="962"/>
      <c r="N430" s="962"/>
    </row>
    <row r="431" spans="1:14" ht="15.6">
      <c r="A431" s="956">
        <v>19</v>
      </c>
      <c r="B431" s="957" t="s">
        <v>14</v>
      </c>
      <c r="C431" s="956"/>
      <c r="D431" s="958">
        <v>2973</v>
      </c>
      <c r="E431" s="959">
        <v>44979</v>
      </c>
      <c r="F431" s="966">
        <v>91141</v>
      </c>
      <c r="G431" s="956">
        <v>30</v>
      </c>
      <c r="H431" s="961">
        <f t="shared" si="35"/>
        <v>45009</v>
      </c>
      <c r="I431" s="962">
        <f t="shared" si="36"/>
        <v>8</v>
      </c>
      <c r="J431" s="962">
        <f t="shared" si="37"/>
        <v>91141</v>
      </c>
      <c r="K431" s="962">
        <f t="shared" si="38"/>
        <v>0</v>
      </c>
      <c r="L431" s="962">
        <f t="shared" si="39"/>
        <v>0</v>
      </c>
      <c r="M431" s="962">
        <f t="shared" si="40"/>
        <v>0</v>
      </c>
      <c r="N431" s="962">
        <f t="shared" si="41"/>
        <v>0</v>
      </c>
    </row>
    <row r="432" spans="1:14" ht="15.6">
      <c r="A432" s="956"/>
      <c r="B432" s="956"/>
      <c r="C432" s="956"/>
      <c r="D432" s="958">
        <v>3243</v>
      </c>
      <c r="E432" s="959">
        <v>45009</v>
      </c>
      <c r="F432" s="964">
        <v>86382</v>
      </c>
      <c r="G432" s="956">
        <v>30</v>
      </c>
      <c r="H432" s="961">
        <f t="shared" si="35"/>
        <v>45039</v>
      </c>
      <c r="I432" s="962">
        <f t="shared" si="36"/>
        <v>-22</v>
      </c>
      <c r="J432" s="962">
        <f t="shared" si="37"/>
        <v>86382</v>
      </c>
      <c r="K432" s="962">
        <f t="shared" si="38"/>
        <v>0</v>
      </c>
      <c r="L432" s="962">
        <f t="shared" si="39"/>
        <v>0</v>
      </c>
      <c r="M432" s="962">
        <f t="shared" si="40"/>
        <v>0</v>
      </c>
      <c r="N432" s="962">
        <f t="shared" si="41"/>
        <v>0</v>
      </c>
    </row>
    <row r="433" spans="1:14" ht="15.6">
      <c r="A433" s="956"/>
      <c r="B433" s="956"/>
      <c r="C433" s="956"/>
      <c r="D433" s="958" t="s">
        <v>2754</v>
      </c>
      <c r="E433" s="959">
        <v>44785</v>
      </c>
      <c r="F433" s="966">
        <v>-24572</v>
      </c>
      <c r="G433" s="956">
        <v>30</v>
      </c>
      <c r="H433" s="961">
        <f t="shared" si="35"/>
        <v>44815</v>
      </c>
      <c r="I433" s="962">
        <f t="shared" si="36"/>
        <v>202</v>
      </c>
      <c r="J433" s="962">
        <f t="shared" si="37"/>
        <v>0</v>
      </c>
      <c r="K433" s="962">
        <f t="shared" si="38"/>
        <v>0</v>
      </c>
      <c r="L433" s="962">
        <f t="shared" si="39"/>
        <v>0</v>
      </c>
      <c r="M433" s="962">
        <f t="shared" si="40"/>
        <v>0</v>
      </c>
      <c r="N433" s="962">
        <f t="shared" si="41"/>
        <v>-24572</v>
      </c>
    </row>
    <row r="434" spans="1:14" ht="15.6">
      <c r="A434" s="956"/>
      <c r="B434" s="956"/>
      <c r="C434" s="956"/>
      <c r="D434" s="958"/>
      <c r="E434" s="959"/>
      <c r="F434" s="967">
        <f>SUM(F431:F433)</f>
        <v>152951</v>
      </c>
      <c r="G434" s="956"/>
      <c r="H434" s="961"/>
      <c r="I434" s="962"/>
      <c r="J434" s="962"/>
      <c r="K434" s="962"/>
      <c r="L434" s="962"/>
      <c r="M434" s="962"/>
      <c r="N434" s="962"/>
    </row>
    <row r="435" spans="1:14" ht="15.6">
      <c r="A435" s="956"/>
      <c r="B435" s="956"/>
      <c r="C435" s="956"/>
      <c r="D435" s="958"/>
      <c r="E435" s="959"/>
      <c r="F435" s="966"/>
      <c r="G435" s="956"/>
      <c r="H435" s="961"/>
      <c r="I435" s="962"/>
      <c r="J435" s="962"/>
      <c r="K435" s="962"/>
      <c r="L435" s="962"/>
      <c r="M435" s="962"/>
      <c r="N435" s="962"/>
    </row>
    <row r="436" spans="1:14" ht="15.6">
      <c r="A436" s="956">
        <v>20</v>
      </c>
      <c r="B436" s="957" t="s">
        <v>516</v>
      </c>
      <c r="C436" s="956"/>
      <c r="D436" s="958">
        <v>2668</v>
      </c>
      <c r="E436" s="959">
        <v>44950</v>
      </c>
      <c r="F436" s="966">
        <v>479767</v>
      </c>
      <c r="G436" s="956">
        <v>30</v>
      </c>
      <c r="H436" s="961">
        <f t="shared" si="35"/>
        <v>44980</v>
      </c>
      <c r="I436" s="962">
        <f t="shared" si="36"/>
        <v>37</v>
      </c>
      <c r="J436" s="962">
        <f t="shared" si="37"/>
        <v>0</v>
      </c>
      <c r="K436" s="962">
        <f t="shared" si="38"/>
        <v>479767</v>
      </c>
      <c r="L436" s="962">
        <f t="shared" si="39"/>
        <v>0</v>
      </c>
      <c r="M436" s="962">
        <f t="shared" si="40"/>
        <v>0</v>
      </c>
      <c r="N436" s="962">
        <f t="shared" si="41"/>
        <v>0</v>
      </c>
    </row>
    <row r="437" spans="1:14" ht="15.6">
      <c r="A437" s="956"/>
      <c r="B437" s="956"/>
      <c r="C437" s="956"/>
      <c r="D437" s="958">
        <v>2672</v>
      </c>
      <c r="E437" s="959">
        <v>44950</v>
      </c>
      <c r="F437" s="966">
        <v>349007</v>
      </c>
      <c r="G437" s="956">
        <v>30</v>
      </c>
      <c r="H437" s="961">
        <f t="shared" ref="H437:H501" si="42">+E437+G437</f>
        <v>44980</v>
      </c>
      <c r="I437" s="962">
        <f t="shared" ref="I437:I501" si="43">+$Q$1-H437+1</f>
        <v>37</v>
      </c>
      <c r="J437" s="962">
        <f t="shared" ref="J437:J501" si="44">IF(I437&lt;=30,F437,0)</f>
        <v>0</v>
      </c>
      <c r="K437" s="962">
        <f t="shared" ref="K437:K501" si="45">IF(I437&lt;=30,0,IF(I437&gt;60,0,F437))</f>
        <v>349007</v>
      </c>
      <c r="L437" s="962">
        <f t="shared" ref="L437:L501" si="46">IF(I437&lt;=60,0,IF(I437&gt;90,0,F437))</f>
        <v>0</v>
      </c>
      <c r="M437" s="962">
        <f t="shared" ref="M437:M501" si="47">IF(I437&lt;=90,0,IF(I437&gt;120,0,F437))</f>
        <v>0</v>
      </c>
      <c r="N437" s="962">
        <f t="shared" ref="N437:N501" si="48">IF(I437&lt;=120,0,F437)</f>
        <v>0</v>
      </c>
    </row>
    <row r="438" spans="1:14" ht="15.6">
      <c r="A438" s="956"/>
      <c r="B438" s="956"/>
      <c r="C438" s="956"/>
      <c r="D438" s="958">
        <v>2682</v>
      </c>
      <c r="E438" s="959">
        <v>44951</v>
      </c>
      <c r="F438" s="966">
        <v>57948</v>
      </c>
      <c r="G438" s="956">
        <v>30</v>
      </c>
      <c r="H438" s="961">
        <f t="shared" si="42"/>
        <v>44981</v>
      </c>
      <c r="I438" s="962">
        <f t="shared" si="43"/>
        <v>36</v>
      </c>
      <c r="J438" s="962">
        <f t="shared" si="44"/>
        <v>0</v>
      </c>
      <c r="K438" s="962">
        <f t="shared" si="45"/>
        <v>57948</v>
      </c>
      <c r="L438" s="962">
        <f t="shared" si="46"/>
        <v>0</v>
      </c>
      <c r="M438" s="962">
        <f t="shared" si="47"/>
        <v>0</v>
      </c>
      <c r="N438" s="962">
        <f t="shared" si="48"/>
        <v>0</v>
      </c>
    </row>
    <row r="439" spans="1:14" ht="15.6">
      <c r="A439" s="956"/>
      <c r="B439" s="956"/>
      <c r="C439" s="956"/>
      <c r="D439" s="958">
        <v>2687</v>
      </c>
      <c r="E439" s="959">
        <v>44951</v>
      </c>
      <c r="F439" s="966">
        <v>260445</v>
      </c>
      <c r="G439" s="956">
        <v>30</v>
      </c>
      <c r="H439" s="961">
        <f t="shared" si="42"/>
        <v>44981</v>
      </c>
      <c r="I439" s="962">
        <f t="shared" si="43"/>
        <v>36</v>
      </c>
      <c r="J439" s="962">
        <f t="shared" si="44"/>
        <v>0</v>
      </c>
      <c r="K439" s="962">
        <f t="shared" si="45"/>
        <v>260445</v>
      </c>
      <c r="L439" s="962">
        <f t="shared" si="46"/>
        <v>0</v>
      </c>
      <c r="M439" s="962">
        <f t="shared" si="47"/>
        <v>0</v>
      </c>
      <c r="N439" s="962">
        <f t="shared" si="48"/>
        <v>0</v>
      </c>
    </row>
    <row r="440" spans="1:14" ht="15.6">
      <c r="A440" s="956"/>
      <c r="B440" s="956"/>
      <c r="C440" s="956"/>
      <c r="D440" s="973">
        <v>2688</v>
      </c>
      <c r="E440" s="974">
        <v>44951</v>
      </c>
      <c r="F440" s="975">
        <v>286054</v>
      </c>
      <c r="G440" s="956">
        <v>30</v>
      </c>
      <c r="H440" s="961">
        <f t="shared" si="42"/>
        <v>44981</v>
      </c>
      <c r="I440" s="962">
        <f t="shared" si="43"/>
        <v>36</v>
      </c>
      <c r="J440" s="962">
        <f t="shared" si="44"/>
        <v>0</v>
      </c>
      <c r="K440" s="962">
        <f t="shared" si="45"/>
        <v>286054</v>
      </c>
      <c r="L440" s="962">
        <f t="shared" si="46"/>
        <v>0</v>
      </c>
      <c r="M440" s="962">
        <f t="shared" si="47"/>
        <v>0</v>
      </c>
      <c r="N440" s="962">
        <f t="shared" si="48"/>
        <v>0</v>
      </c>
    </row>
    <row r="441" spans="1:14" ht="15.6">
      <c r="A441" s="956"/>
      <c r="B441" s="956"/>
      <c r="C441" s="956"/>
      <c r="D441" s="973">
        <v>2718</v>
      </c>
      <c r="E441" s="974">
        <v>44955</v>
      </c>
      <c r="F441" s="975">
        <v>795706</v>
      </c>
      <c r="G441" s="956">
        <v>30</v>
      </c>
      <c r="H441" s="961">
        <f t="shared" si="42"/>
        <v>44985</v>
      </c>
      <c r="I441" s="962">
        <f t="shared" si="43"/>
        <v>32</v>
      </c>
      <c r="J441" s="962">
        <f t="shared" si="44"/>
        <v>0</v>
      </c>
      <c r="K441" s="962">
        <f t="shared" si="45"/>
        <v>795706</v>
      </c>
      <c r="L441" s="962">
        <f t="shared" si="46"/>
        <v>0</v>
      </c>
      <c r="M441" s="962">
        <f t="shared" si="47"/>
        <v>0</v>
      </c>
      <c r="N441" s="962">
        <f t="shared" si="48"/>
        <v>0</v>
      </c>
    </row>
    <row r="442" spans="1:14" ht="15.6">
      <c r="A442" s="956"/>
      <c r="B442" s="956"/>
      <c r="C442" s="956"/>
      <c r="D442" s="958">
        <v>2721</v>
      </c>
      <c r="E442" s="959">
        <v>44955</v>
      </c>
      <c r="F442" s="966">
        <v>518852</v>
      </c>
      <c r="G442" s="956">
        <v>30</v>
      </c>
      <c r="H442" s="961">
        <f t="shared" si="42"/>
        <v>44985</v>
      </c>
      <c r="I442" s="962">
        <f t="shared" si="43"/>
        <v>32</v>
      </c>
      <c r="J442" s="962">
        <f t="shared" si="44"/>
        <v>0</v>
      </c>
      <c r="K442" s="962">
        <f t="shared" si="45"/>
        <v>518852</v>
      </c>
      <c r="L442" s="962">
        <f t="shared" si="46"/>
        <v>0</v>
      </c>
      <c r="M442" s="962">
        <f t="shared" si="47"/>
        <v>0</v>
      </c>
      <c r="N442" s="962">
        <f t="shared" si="48"/>
        <v>0</v>
      </c>
    </row>
    <row r="443" spans="1:14" ht="15.6">
      <c r="A443" s="956"/>
      <c r="B443" s="956"/>
      <c r="C443" s="956"/>
      <c r="D443" s="958">
        <v>2735</v>
      </c>
      <c r="E443" s="959">
        <v>44957</v>
      </c>
      <c r="F443" s="966">
        <v>557394</v>
      </c>
      <c r="G443" s="956">
        <v>30</v>
      </c>
      <c r="H443" s="961">
        <f t="shared" si="42"/>
        <v>44987</v>
      </c>
      <c r="I443" s="962">
        <f t="shared" si="43"/>
        <v>30</v>
      </c>
      <c r="J443" s="962">
        <f t="shared" si="44"/>
        <v>557394</v>
      </c>
      <c r="K443" s="962">
        <f t="shared" si="45"/>
        <v>0</v>
      </c>
      <c r="L443" s="962">
        <f t="shared" si="46"/>
        <v>0</v>
      </c>
      <c r="M443" s="962">
        <f t="shared" si="47"/>
        <v>0</v>
      </c>
      <c r="N443" s="962">
        <f t="shared" si="48"/>
        <v>0</v>
      </c>
    </row>
    <row r="444" spans="1:14" ht="15.6">
      <c r="A444" s="956"/>
      <c r="B444" s="956"/>
      <c r="C444" s="956"/>
      <c r="D444" s="958">
        <v>2739</v>
      </c>
      <c r="E444" s="959">
        <v>44957</v>
      </c>
      <c r="F444" s="966">
        <v>583601</v>
      </c>
      <c r="G444" s="956">
        <v>30</v>
      </c>
      <c r="H444" s="961">
        <f t="shared" si="42"/>
        <v>44987</v>
      </c>
      <c r="I444" s="962">
        <f t="shared" si="43"/>
        <v>30</v>
      </c>
      <c r="J444" s="962">
        <f t="shared" si="44"/>
        <v>583601</v>
      </c>
      <c r="K444" s="962">
        <f t="shared" si="45"/>
        <v>0</v>
      </c>
      <c r="L444" s="962">
        <f t="shared" si="46"/>
        <v>0</v>
      </c>
      <c r="M444" s="962">
        <f t="shared" si="47"/>
        <v>0</v>
      </c>
      <c r="N444" s="962">
        <f t="shared" si="48"/>
        <v>0</v>
      </c>
    </row>
    <row r="445" spans="1:14" ht="15.6">
      <c r="A445" s="956"/>
      <c r="B445" s="956"/>
      <c r="C445" s="956"/>
      <c r="D445" s="968">
        <v>2741</v>
      </c>
      <c r="E445" s="969">
        <v>44957</v>
      </c>
      <c r="F445" s="966">
        <v>283383</v>
      </c>
      <c r="G445" s="956">
        <v>30</v>
      </c>
      <c r="H445" s="961">
        <f t="shared" si="42"/>
        <v>44987</v>
      </c>
      <c r="I445" s="962">
        <f t="shared" si="43"/>
        <v>30</v>
      </c>
      <c r="J445" s="962">
        <f t="shared" si="44"/>
        <v>283383</v>
      </c>
      <c r="K445" s="962">
        <f t="shared" si="45"/>
        <v>0</v>
      </c>
      <c r="L445" s="962">
        <f t="shared" si="46"/>
        <v>0</v>
      </c>
      <c r="M445" s="962">
        <f t="shared" si="47"/>
        <v>0</v>
      </c>
      <c r="N445" s="962">
        <f t="shared" si="48"/>
        <v>0</v>
      </c>
    </row>
    <row r="446" spans="1:14" ht="15.6">
      <c r="A446" s="956"/>
      <c r="B446" s="956"/>
      <c r="C446" s="956"/>
      <c r="D446" s="958">
        <v>2751</v>
      </c>
      <c r="E446" s="959">
        <v>44958</v>
      </c>
      <c r="F446" s="966">
        <v>503146</v>
      </c>
      <c r="G446" s="956">
        <v>30</v>
      </c>
      <c r="H446" s="961">
        <f t="shared" si="42"/>
        <v>44988</v>
      </c>
      <c r="I446" s="962">
        <f t="shared" si="43"/>
        <v>29</v>
      </c>
      <c r="J446" s="962">
        <f t="shared" si="44"/>
        <v>503146</v>
      </c>
      <c r="K446" s="962">
        <f t="shared" si="45"/>
        <v>0</v>
      </c>
      <c r="L446" s="962">
        <f t="shared" si="46"/>
        <v>0</v>
      </c>
      <c r="M446" s="962">
        <f t="shared" si="47"/>
        <v>0</v>
      </c>
      <c r="N446" s="962">
        <f t="shared" si="48"/>
        <v>0</v>
      </c>
    </row>
    <row r="447" spans="1:14" ht="15.6">
      <c r="A447" s="956"/>
      <c r="B447" s="956"/>
      <c r="C447" s="956"/>
      <c r="D447" s="958">
        <v>2754</v>
      </c>
      <c r="E447" s="959">
        <v>44958</v>
      </c>
      <c r="F447" s="966">
        <v>467127</v>
      </c>
      <c r="G447" s="956">
        <v>30</v>
      </c>
      <c r="H447" s="961">
        <f t="shared" si="42"/>
        <v>44988</v>
      </c>
      <c r="I447" s="962">
        <f t="shared" si="43"/>
        <v>29</v>
      </c>
      <c r="J447" s="962">
        <f t="shared" si="44"/>
        <v>467127</v>
      </c>
      <c r="K447" s="962">
        <f t="shared" si="45"/>
        <v>0</v>
      </c>
      <c r="L447" s="962">
        <f t="shared" si="46"/>
        <v>0</v>
      </c>
      <c r="M447" s="962">
        <f t="shared" si="47"/>
        <v>0</v>
      </c>
      <c r="N447" s="962">
        <f t="shared" si="48"/>
        <v>0</v>
      </c>
    </row>
    <row r="448" spans="1:14" ht="15.6">
      <c r="A448" s="956"/>
      <c r="B448" s="956"/>
      <c r="C448" s="956"/>
      <c r="D448" s="958">
        <v>2763</v>
      </c>
      <c r="E448" s="959">
        <v>44959</v>
      </c>
      <c r="F448" s="966">
        <v>140545</v>
      </c>
      <c r="G448" s="956">
        <v>30</v>
      </c>
      <c r="H448" s="961">
        <f t="shared" si="42"/>
        <v>44989</v>
      </c>
      <c r="I448" s="962">
        <f t="shared" si="43"/>
        <v>28</v>
      </c>
      <c r="J448" s="962">
        <f t="shared" si="44"/>
        <v>140545</v>
      </c>
      <c r="K448" s="962">
        <f t="shared" si="45"/>
        <v>0</v>
      </c>
      <c r="L448" s="962">
        <f t="shared" si="46"/>
        <v>0</v>
      </c>
      <c r="M448" s="962">
        <f t="shared" si="47"/>
        <v>0</v>
      </c>
      <c r="N448" s="962">
        <f t="shared" si="48"/>
        <v>0</v>
      </c>
    </row>
    <row r="449" spans="1:14" ht="15.6">
      <c r="A449" s="956"/>
      <c r="B449" s="956"/>
      <c r="C449" s="956"/>
      <c r="D449" s="958">
        <v>2777</v>
      </c>
      <c r="E449" s="959">
        <v>44960</v>
      </c>
      <c r="F449" s="966">
        <v>563423</v>
      </c>
      <c r="G449" s="956">
        <v>30</v>
      </c>
      <c r="H449" s="961">
        <f t="shared" si="42"/>
        <v>44990</v>
      </c>
      <c r="I449" s="962">
        <f t="shared" si="43"/>
        <v>27</v>
      </c>
      <c r="J449" s="962">
        <f t="shared" si="44"/>
        <v>563423</v>
      </c>
      <c r="K449" s="962">
        <f t="shared" si="45"/>
        <v>0</v>
      </c>
      <c r="L449" s="962">
        <f t="shared" si="46"/>
        <v>0</v>
      </c>
      <c r="M449" s="962">
        <f t="shared" si="47"/>
        <v>0</v>
      </c>
      <c r="N449" s="962">
        <f t="shared" si="48"/>
        <v>0</v>
      </c>
    </row>
    <row r="450" spans="1:14" ht="15.6">
      <c r="A450" s="956"/>
      <c r="B450" s="956"/>
      <c r="C450" s="956"/>
      <c r="D450" s="958">
        <v>2778</v>
      </c>
      <c r="E450" s="959">
        <v>44960</v>
      </c>
      <c r="F450" s="966">
        <v>772185</v>
      </c>
      <c r="G450" s="956">
        <v>30</v>
      </c>
      <c r="H450" s="961">
        <f t="shared" si="42"/>
        <v>44990</v>
      </c>
      <c r="I450" s="962">
        <f t="shared" si="43"/>
        <v>27</v>
      </c>
      <c r="J450" s="962">
        <f t="shared" si="44"/>
        <v>772185</v>
      </c>
      <c r="K450" s="962">
        <f t="shared" si="45"/>
        <v>0</v>
      </c>
      <c r="L450" s="962">
        <f t="shared" si="46"/>
        <v>0</v>
      </c>
      <c r="M450" s="962">
        <f t="shared" si="47"/>
        <v>0</v>
      </c>
      <c r="N450" s="962">
        <f t="shared" si="48"/>
        <v>0</v>
      </c>
    </row>
    <row r="451" spans="1:14" ht="15.6">
      <c r="A451" s="956"/>
      <c r="B451" s="956"/>
      <c r="C451" s="956"/>
      <c r="D451" s="958">
        <v>2785</v>
      </c>
      <c r="E451" s="959">
        <v>44961</v>
      </c>
      <c r="F451" s="966">
        <v>216227</v>
      </c>
      <c r="G451" s="956">
        <v>30</v>
      </c>
      <c r="H451" s="961">
        <f t="shared" si="42"/>
        <v>44991</v>
      </c>
      <c r="I451" s="962">
        <f t="shared" si="43"/>
        <v>26</v>
      </c>
      <c r="J451" s="962">
        <f t="shared" si="44"/>
        <v>216227</v>
      </c>
      <c r="K451" s="962">
        <f t="shared" si="45"/>
        <v>0</v>
      </c>
      <c r="L451" s="962">
        <f t="shared" si="46"/>
        <v>0</v>
      </c>
      <c r="M451" s="962">
        <f t="shared" si="47"/>
        <v>0</v>
      </c>
      <c r="N451" s="962">
        <f t="shared" si="48"/>
        <v>0</v>
      </c>
    </row>
    <row r="452" spans="1:14" ht="15.6">
      <c r="A452" s="956"/>
      <c r="B452" s="956"/>
      <c r="C452" s="956"/>
      <c r="D452" s="958">
        <v>2786</v>
      </c>
      <c r="E452" s="959">
        <v>44961</v>
      </c>
      <c r="F452" s="966">
        <v>254069</v>
      </c>
      <c r="G452" s="956">
        <v>30</v>
      </c>
      <c r="H452" s="961">
        <f t="shared" si="42"/>
        <v>44991</v>
      </c>
      <c r="I452" s="962">
        <f t="shared" si="43"/>
        <v>26</v>
      </c>
      <c r="J452" s="962">
        <f t="shared" si="44"/>
        <v>254069</v>
      </c>
      <c r="K452" s="962">
        <f t="shared" si="45"/>
        <v>0</v>
      </c>
      <c r="L452" s="962">
        <f t="shared" si="46"/>
        <v>0</v>
      </c>
      <c r="M452" s="962">
        <f t="shared" si="47"/>
        <v>0</v>
      </c>
      <c r="N452" s="962">
        <f t="shared" si="48"/>
        <v>0</v>
      </c>
    </row>
    <row r="453" spans="1:14" ht="15.6">
      <c r="A453" s="956"/>
      <c r="B453" s="956"/>
      <c r="C453" s="956"/>
      <c r="D453" s="958">
        <v>2795</v>
      </c>
      <c r="E453" s="959">
        <v>44962</v>
      </c>
      <c r="F453" s="966">
        <v>159686</v>
      </c>
      <c r="G453" s="956">
        <v>30</v>
      </c>
      <c r="H453" s="961">
        <f t="shared" si="42"/>
        <v>44992</v>
      </c>
      <c r="I453" s="962">
        <f t="shared" si="43"/>
        <v>25</v>
      </c>
      <c r="J453" s="962">
        <f t="shared" si="44"/>
        <v>159686</v>
      </c>
      <c r="K453" s="962">
        <f t="shared" si="45"/>
        <v>0</v>
      </c>
      <c r="L453" s="962">
        <f t="shared" si="46"/>
        <v>0</v>
      </c>
      <c r="M453" s="962">
        <f t="shared" si="47"/>
        <v>0</v>
      </c>
      <c r="N453" s="962">
        <f t="shared" si="48"/>
        <v>0</v>
      </c>
    </row>
    <row r="454" spans="1:14" ht="15.6">
      <c r="A454" s="956"/>
      <c r="B454" s="956"/>
      <c r="C454" s="956"/>
      <c r="D454" s="958">
        <v>2809</v>
      </c>
      <c r="E454" s="959">
        <v>44963</v>
      </c>
      <c r="F454" s="966">
        <v>160351</v>
      </c>
      <c r="G454" s="956">
        <v>30</v>
      </c>
      <c r="H454" s="961">
        <f t="shared" si="42"/>
        <v>44993</v>
      </c>
      <c r="I454" s="962">
        <f t="shared" si="43"/>
        <v>24</v>
      </c>
      <c r="J454" s="962">
        <f t="shared" si="44"/>
        <v>160351</v>
      </c>
      <c r="K454" s="962">
        <f t="shared" si="45"/>
        <v>0</v>
      </c>
      <c r="L454" s="962">
        <f t="shared" si="46"/>
        <v>0</v>
      </c>
      <c r="M454" s="962">
        <f t="shared" si="47"/>
        <v>0</v>
      </c>
      <c r="N454" s="962">
        <f t="shared" si="48"/>
        <v>0</v>
      </c>
    </row>
    <row r="455" spans="1:14" ht="15.6">
      <c r="A455" s="956"/>
      <c r="B455" s="956"/>
      <c r="C455" s="956"/>
      <c r="D455" s="958">
        <v>2817</v>
      </c>
      <c r="E455" s="959">
        <v>44963</v>
      </c>
      <c r="F455" s="966">
        <v>504766</v>
      </c>
      <c r="G455" s="956">
        <v>30</v>
      </c>
      <c r="H455" s="961">
        <f t="shared" si="42"/>
        <v>44993</v>
      </c>
      <c r="I455" s="962">
        <f t="shared" si="43"/>
        <v>24</v>
      </c>
      <c r="J455" s="962">
        <f t="shared" si="44"/>
        <v>504766</v>
      </c>
      <c r="K455" s="962">
        <f t="shared" si="45"/>
        <v>0</v>
      </c>
      <c r="L455" s="962">
        <f t="shared" si="46"/>
        <v>0</v>
      </c>
      <c r="M455" s="962">
        <f t="shared" si="47"/>
        <v>0</v>
      </c>
      <c r="N455" s="962">
        <f t="shared" si="48"/>
        <v>0</v>
      </c>
    </row>
    <row r="456" spans="1:14" ht="15.6">
      <c r="A456" s="956"/>
      <c r="B456" s="956"/>
      <c r="C456" s="956"/>
      <c r="D456" s="958">
        <v>2829</v>
      </c>
      <c r="E456" s="959">
        <v>44964</v>
      </c>
      <c r="F456" s="966">
        <v>488980</v>
      </c>
      <c r="G456" s="956">
        <v>30</v>
      </c>
      <c r="H456" s="961">
        <f t="shared" si="42"/>
        <v>44994</v>
      </c>
      <c r="I456" s="962">
        <f t="shared" si="43"/>
        <v>23</v>
      </c>
      <c r="J456" s="962">
        <f t="shared" si="44"/>
        <v>488980</v>
      </c>
      <c r="K456" s="962">
        <f t="shared" si="45"/>
        <v>0</v>
      </c>
      <c r="L456" s="962">
        <f t="shared" si="46"/>
        <v>0</v>
      </c>
      <c r="M456" s="962">
        <f t="shared" si="47"/>
        <v>0</v>
      </c>
      <c r="N456" s="962">
        <f t="shared" si="48"/>
        <v>0</v>
      </c>
    </row>
    <row r="457" spans="1:14" ht="15.6">
      <c r="A457" s="956"/>
      <c r="B457" s="956"/>
      <c r="C457" s="956"/>
      <c r="D457" s="958">
        <v>2850</v>
      </c>
      <c r="E457" s="959">
        <v>44966</v>
      </c>
      <c r="F457" s="966">
        <v>59340</v>
      </c>
      <c r="G457" s="956">
        <v>30</v>
      </c>
      <c r="H457" s="961">
        <f t="shared" si="42"/>
        <v>44996</v>
      </c>
      <c r="I457" s="962">
        <f t="shared" si="43"/>
        <v>21</v>
      </c>
      <c r="J457" s="962">
        <f t="shared" si="44"/>
        <v>59340</v>
      </c>
      <c r="K457" s="962">
        <f t="shared" si="45"/>
        <v>0</v>
      </c>
      <c r="L457" s="962">
        <f t="shared" si="46"/>
        <v>0</v>
      </c>
      <c r="M457" s="962">
        <f t="shared" si="47"/>
        <v>0</v>
      </c>
      <c r="N457" s="962">
        <f t="shared" si="48"/>
        <v>0</v>
      </c>
    </row>
    <row r="458" spans="1:14" ht="15.6">
      <c r="A458" s="956"/>
      <c r="B458" s="956"/>
      <c r="C458" s="956"/>
      <c r="D458" s="958">
        <v>2851</v>
      </c>
      <c r="E458" s="959">
        <v>44966</v>
      </c>
      <c r="F458" s="966">
        <v>87554</v>
      </c>
      <c r="G458" s="956">
        <v>30</v>
      </c>
      <c r="H458" s="961">
        <f t="shared" si="42"/>
        <v>44996</v>
      </c>
      <c r="I458" s="962">
        <f t="shared" si="43"/>
        <v>21</v>
      </c>
      <c r="J458" s="962">
        <f t="shared" si="44"/>
        <v>87554</v>
      </c>
      <c r="K458" s="962">
        <f t="shared" si="45"/>
        <v>0</v>
      </c>
      <c r="L458" s="962">
        <f t="shared" si="46"/>
        <v>0</v>
      </c>
      <c r="M458" s="962">
        <f t="shared" si="47"/>
        <v>0</v>
      </c>
      <c r="N458" s="962">
        <f t="shared" si="48"/>
        <v>0</v>
      </c>
    </row>
    <row r="459" spans="1:14" ht="15.6">
      <c r="A459" s="956"/>
      <c r="B459" s="956"/>
      <c r="C459" s="956"/>
      <c r="D459" s="958">
        <v>2853</v>
      </c>
      <c r="E459" s="959">
        <v>44967</v>
      </c>
      <c r="F459" s="966">
        <v>19611</v>
      </c>
      <c r="G459" s="956">
        <v>30</v>
      </c>
      <c r="H459" s="961">
        <f t="shared" si="42"/>
        <v>44997</v>
      </c>
      <c r="I459" s="962">
        <f t="shared" si="43"/>
        <v>20</v>
      </c>
      <c r="J459" s="962">
        <f t="shared" si="44"/>
        <v>19611</v>
      </c>
      <c r="K459" s="962">
        <f t="shared" si="45"/>
        <v>0</v>
      </c>
      <c r="L459" s="962">
        <f t="shared" si="46"/>
        <v>0</v>
      </c>
      <c r="M459" s="962">
        <f t="shared" si="47"/>
        <v>0</v>
      </c>
      <c r="N459" s="962">
        <f t="shared" si="48"/>
        <v>0</v>
      </c>
    </row>
    <row r="460" spans="1:14" ht="15.6">
      <c r="A460" s="956"/>
      <c r="B460" s="956"/>
      <c r="C460" s="956"/>
      <c r="D460" s="958">
        <v>2871</v>
      </c>
      <c r="E460" s="959">
        <v>44969</v>
      </c>
      <c r="F460" s="966">
        <v>558473</v>
      </c>
      <c r="G460" s="956">
        <v>30</v>
      </c>
      <c r="H460" s="961">
        <f t="shared" si="42"/>
        <v>44999</v>
      </c>
      <c r="I460" s="962">
        <f t="shared" si="43"/>
        <v>18</v>
      </c>
      <c r="J460" s="962">
        <f t="shared" si="44"/>
        <v>558473</v>
      </c>
      <c r="K460" s="962">
        <f t="shared" si="45"/>
        <v>0</v>
      </c>
      <c r="L460" s="962">
        <f t="shared" si="46"/>
        <v>0</v>
      </c>
      <c r="M460" s="962">
        <f t="shared" si="47"/>
        <v>0</v>
      </c>
      <c r="N460" s="962">
        <f t="shared" si="48"/>
        <v>0</v>
      </c>
    </row>
    <row r="461" spans="1:14" ht="15.6">
      <c r="A461" s="956"/>
      <c r="B461" s="956"/>
      <c r="C461" s="956"/>
      <c r="D461" s="958">
        <v>2873</v>
      </c>
      <c r="E461" s="959">
        <v>44969</v>
      </c>
      <c r="F461" s="966">
        <v>311961</v>
      </c>
      <c r="G461" s="956">
        <v>30</v>
      </c>
      <c r="H461" s="961">
        <f t="shared" si="42"/>
        <v>44999</v>
      </c>
      <c r="I461" s="962">
        <f t="shared" si="43"/>
        <v>18</v>
      </c>
      <c r="J461" s="962">
        <f t="shared" si="44"/>
        <v>311961</v>
      </c>
      <c r="K461" s="962">
        <f t="shared" si="45"/>
        <v>0</v>
      </c>
      <c r="L461" s="962">
        <f t="shared" si="46"/>
        <v>0</v>
      </c>
      <c r="M461" s="962">
        <f t="shared" si="47"/>
        <v>0</v>
      </c>
      <c r="N461" s="962">
        <f t="shared" si="48"/>
        <v>0</v>
      </c>
    </row>
    <row r="462" spans="1:14" ht="15.6">
      <c r="A462" s="956"/>
      <c r="B462" s="956"/>
      <c r="C462" s="956"/>
      <c r="D462" s="958">
        <v>2889</v>
      </c>
      <c r="E462" s="959">
        <v>44971</v>
      </c>
      <c r="F462" s="966">
        <v>524476</v>
      </c>
      <c r="G462" s="956">
        <v>30</v>
      </c>
      <c r="H462" s="961">
        <f t="shared" si="42"/>
        <v>45001</v>
      </c>
      <c r="I462" s="962">
        <f t="shared" si="43"/>
        <v>16</v>
      </c>
      <c r="J462" s="962">
        <f t="shared" si="44"/>
        <v>524476</v>
      </c>
      <c r="K462" s="962">
        <f t="shared" si="45"/>
        <v>0</v>
      </c>
      <c r="L462" s="962">
        <f t="shared" si="46"/>
        <v>0</v>
      </c>
      <c r="M462" s="962">
        <f t="shared" si="47"/>
        <v>0</v>
      </c>
      <c r="N462" s="962">
        <f t="shared" si="48"/>
        <v>0</v>
      </c>
    </row>
    <row r="463" spans="1:14" ht="15.6">
      <c r="A463" s="956"/>
      <c r="B463" s="956"/>
      <c r="C463" s="956"/>
      <c r="D463" s="958">
        <v>2911</v>
      </c>
      <c r="E463" s="959">
        <v>44973</v>
      </c>
      <c r="F463" s="966">
        <v>521322</v>
      </c>
      <c r="G463" s="956">
        <v>30</v>
      </c>
      <c r="H463" s="961">
        <f t="shared" si="42"/>
        <v>45003</v>
      </c>
      <c r="I463" s="962">
        <f t="shared" si="43"/>
        <v>14</v>
      </c>
      <c r="J463" s="962">
        <f t="shared" si="44"/>
        <v>521322</v>
      </c>
      <c r="K463" s="962">
        <f t="shared" si="45"/>
        <v>0</v>
      </c>
      <c r="L463" s="962">
        <f t="shared" si="46"/>
        <v>0</v>
      </c>
      <c r="M463" s="962">
        <f t="shared" si="47"/>
        <v>0</v>
      </c>
      <c r="N463" s="962">
        <f t="shared" si="48"/>
        <v>0</v>
      </c>
    </row>
    <row r="464" spans="1:14" ht="15.6">
      <c r="A464" s="956"/>
      <c r="B464" s="956"/>
      <c r="C464" s="956"/>
      <c r="D464" s="958">
        <v>2923</v>
      </c>
      <c r="E464" s="959">
        <v>44974</v>
      </c>
      <c r="F464" s="966">
        <v>130767</v>
      </c>
      <c r="G464" s="956">
        <v>30</v>
      </c>
      <c r="H464" s="961">
        <f t="shared" si="42"/>
        <v>45004</v>
      </c>
      <c r="I464" s="962">
        <f t="shared" si="43"/>
        <v>13</v>
      </c>
      <c r="J464" s="962">
        <f t="shared" si="44"/>
        <v>130767</v>
      </c>
      <c r="K464" s="962">
        <f t="shared" si="45"/>
        <v>0</v>
      </c>
      <c r="L464" s="962">
        <f t="shared" si="46"/>
        <v>0</v>
      </c>
      <c r="M464" s="962">
        <f t="shared" si="47"/>
        <v>0</v>
      </c>
      <c r="N464" s="962">
        <f t="shared" si="48"/>
        <v>0</v>
      </c>
    </row>
    <row r="465" spans="1:14" ht="15.6">
      <c r="A465" s="956"/>
      <c r="B465" s="956"/>
      <c r="C465" s="956"/>
      <c r="D465" s="958">
        <v>2930</v>
      </c>
      <c r="E465" s="959">
        <v>44974</v>
      </c>
      <c r="F465" s="966">
        <v>543744</v>
      </c>
      <c r="G465" s="956">
        <v>30</v>
      </c>
      <c r="H465" s="961">
        <f t="shared" si="42"/>
        <v>45004</v>
      </c>
      <c r="I465" s="962">
        <f t="shared" si="43"/>
        <v>13</v>
      </c>
      <c r="J465" s="962">
        <f t="shared" si="44"/>
        <v>543744</v>
      </c>
      <c r="K465" s="962">
        <f t="shared" si="45"/>
        <v>0</v>
      </c>
      <c r="L465" s="962">
        <f t="shared" si="46"/>
        <v>0</v>
      </c>
      <c r="M465" s="962">
        <f t="shared" si="47"/>
        <v>0</v>
      </c>
      <c r="N465" s="962">
        <f t="shared" si="48"/>
        <v>0</v>
      </c>
    </row>
    <row r="466" spans="1:14" ht="15.6">
      <c r="A466" s="956"/>
      <c r="B466" s="956"/>
      <c r="C466" s="956"/>
      <c r="D466" s="958">
        <v>2942</v>
      </c>
      <c r="E466" s="959">
        <v>44976</v>
      </c>
      <c r="F466" s="966">
        <v>525179</v>
      </c>
      <c r="G466" s="956">
        <v>30</v>
      </c>
      <c r="H466" s="961">
        <f t="shared" si="42"/>
        <v>45006</v>
      </c>
      <c r="I466" s="962">
        <f t="shared" si="43"/>
        <v>11</v>
      </c>
      <c r="J466" s="962">
        <f t="shared" si="44"/>
        <v>525179</v>
      </c>
      <c r="K466" s="962">
        <f t="shared" si="45"/>
        <v>0</v>
      </c>
      <c r="L466" s="962">
        <f t="shared" si="46"/>
        <v>0</v>
      </c>
      <c r="M466" s="962">
        <f t="shared" si="47"/>
        <v>0</v>
      </c>
      <c r="N466" s="962">
        <f t="shared" si="48"/>
        <v>0</v>
      </c>
    </row>
    <row r="467" spans="1:14" ht="15.6">
      <c r="A467" s="956"/>
      <c r="B467" s="956"/>
      <c r="C467" s="956"/>
      <c r="D467" s="958">
        <v>2943</v>
      </c>
      <c r="E467" s="959">
        <v>44976</v>
      </c>
      <c r="F467" s="966">
        <v>339601</v>
      </c>
      <c r="G467" s="956">
        <v>30</v>
      </c>
      <c r="H467" s="961">
        <f t="shared" si="42"/>
        <v>45006</v>
      </c>
      <c r="I467" s="962">
        <f t="shared" si="43"/>
        <v>11</v>
      </c>
      <c r="J467" s="962">
        <f t="shared" si="44"/>
        <v>339601</v>
      </c>
      <c r="K467" s="962">
        <f t="shared" si="45"/>
        <v>0</v>
      </c>
      <c r="L467" s="962">
        <f t="shared" si="46"/>
        <v>0</v>
      </c>
      <c r="M467" s="962">
        <f t="shared" si="47"/>
        <v>0</v>
      </c>
      <c r="N467" s="962">
        <f t="shared" si="48"/>
        <v>0</v>
      </c>
    </row>
    <row r="468" spans="1:14" ht="15.6">
      <c r="A468" s="956"/>
      <c r="B468" s="956"/>
      <c r="C468" s="956"/>
      <c r="D468" s="973">
        <v>2944</v>
      </c>
      <c r="E468" s="974">
        <v>44976</v>
      </c>
      <c r="F468" s="975">
        <v>172757</v>
      </c>
      <c r="G468" s="956">
        <v>30</v>
      </c>
      <c r="H468" s="961">
        <f t="shared" si="42"/>
        <v>45006</v>
      </c>
      <c r="I468" s="962">
        <f t="shared" si="43"/>
        <v>11</v>
      </c>
      <c r="J468" s="962">
        <f t="shared" si="44"/>
        <v>172757</v>
      </c>
      <c r="K468" s="962">
        <f t="shared" si="45"/>
        <v>0</v>
      </c>
      <c r="L468" s="962">
        <f t="shared" si="46"/>
        <v>0</v>
      </c>
      <c r="M468" s="962">
        <f t="shared" si="47"/>
        <v>0</v>
      </c>
      <c r="N468" s="962">
        <f t="shared" si="48"/>
        <v>0</v>
      </c>
    </row>
    <row r="469" spans="1:14" ht="15.6">
      <c r="A469" s="956"/>
      <c r="B469" s="956"/>
      <c r="C469" s="956"/>
      <c r="D469" s="958">
        <v>2956</v>
      </c>
      <c r="E469" s="959">
        <v>44977</v>
      </c>
      <c r="F469" s="966">
        <v>323411</v>
      </c>
      <c r="G469" s="956">
        <v>30</v>
      </c>
      <c r="H469" s="961">
        <f t="shared" si="42"/>
        <v>45007</v>
      </c>
      <c r="I469" s="962">
        <f t="shared" si="43"/>
        <v>10</v>
      </c>
      <c r="J469" s="962">
        <f t="shared" si="44"/>
        <v>323411</v>
      </c>
      <c r="K469" s="962">
        <f t="shared" si="45"/>
        <v>0</v>
      </c>
      <c r="L469" s="962">
        <f t="shared" si="46"/>
        <v>0</v>
      </c>
      <c r="M469" s="962">
        <f t="shared" si="47"/>
        <v>0</v>
      </c>
      <c r="N469" s="962">
        <f t="shared" si="48"/>
        <v>0</v>
      </c>
    </row>
    <row r="470" spans="1:14" ht="15.6">
      <c r="A470" s="956"/>
      <c r="B470" s="956"/>
      <c r="C470" s="956"/>
      <c r="D470" s="958">
        <v>2957</v>
      </c>
      <c r="E470" s="959">
        <v>44977</v>
      </c>
      <c r="F470" s="966">
        <v>140779</v>
      </c>
      <c r="G470" s="956">
        <v>30</v>
      </c>
      <c r="H470" s="961">
        <f t="shared" si="42"/>
        <v>45007</v>
      </c>
      <c r="I470" s="962">
        <f t="shared" si="43"/>
        <v>10</v>
      </c>
      <c r="J470" s="962">
        <f t="shared" si="44"/>
        <v>140779</v>
      </c>
      <c r="K470" s="962">
        <f t="shared" si="45"/>
        <v>0</v>
      </c>
      <c r="L470" s="962">
        <f t="shared" si="46"/>
        <v>0</v>
      </c>
      <c r="M470" s="962">
        <f t="shared" si="47"/>
        <v>0</v>
      </c>
      <c r="N470" s="962">
        <f t="shared" si="48"/>
        <v>0</v>
      </c>
    </row>
    <row r="471" spans="1:14" ht="15.6">
      <c r="A471" s="956"/>
      <c r="B471" s="956"/>
      <c r="C471" s="956"/>
      <c r="D471" s="958">
        <v>2993</v>
      </c>
      <c r="E471" s="959">
        <v>44980</v>
      </c>
      <c r="F471" s="966">
        <v>540119</v>
      </c>
      <c r="G471" s="956">
        <v>30</v>
      </c>
      <c r="H471" s="961">
        <f t="shared" si="42"/>
        <v>45010</v>
      </c>
      <c r="I471" s="962">
        <f t="shared" si="43"/>
        <v>7</v>
      </c>
      <c r="J471" s="962">
        <f t="shared" si="44"/>
        <v>540119</v>
      </c>
      <c r="K471" s="962">
        <f t="shared" si="45"/>
        <v>0</v>
      </c>
      <c r="L471" s="962">
        <f t="shared" si="46"/>
        <v>0</v>
      </c>
      <c r="M471" s="962">
        <f t="shared" si="47"/>
        <v>0</v>
      </c>
      <c r="N471" s="962">
        <f t="shared" si="48"/>
        <v>0</v>
      </c>
    </row>
    <row r="472" spans="1:14" ht="15.6">
      <c r="A472" s="956"/>
      <c r="B472" s="956"/>
      <c r="C472" s="956"/>
      <c r="D472" s="958">
        <v>2999</v>
      </c>
      <c r="E472" s="959">
        <v>44981</v>
      </c>
      <c r="F472" s="966">
        <v>156415</v>
      </c>
      <c r="G472" s="956">
        <v>30</v>
      </c>
      <c r="H472" s="961">
        <f t="shared" si="42"/>
        <v>45011</v>
      </c>
      <c r="I472" s="962">
        <f t="shared" si="43"/>
        <v>6</v>
      </c>
      <c r="J472" s="962">
        <f t="shared" si="44"/>
        <v>156415</v>
      </c>
      <c r="K472" s="962">
        <f t="shared" si="45"/>
        <v>0</v>
      </c>
      <c r="L472" s="962">
        <f t="shared" si="46"/>
        <v>0</v>
      </c>
      <c r="M472" s="962">
        <f t="shared" si="47"/>
        <v>0</v>
      </c>
      <c r="N472" s="962">
        <f t="shared" si="48"/>
        <v>0</v>
      </c>
    </row>
    <row r="473" spans="1:14" ht="15.6">
      <c r="A473" s="956"/>
      <c r="B473" s="956"/>
      <c r="C473" s="956"/>
      <c r="D473" s="958">
        <v>3021</v>
      </c>
      <c r="E473" s="959">
        <v>44984</v>
      </c>
      <c r="F473" s="966">
        <v>170083</v>
      </c>
      <c r="G473" s="956">
        <v>30</v>
      </c>
      <c r="H473" s="961">
        <f t="shared" si="42"/>
        <v>45014</v>
      </c>
      <c r="I473" s="962">
        <f t="shared" si="43"/>
        <v>3</v>
      </c>
      <c r="J473" s="962">
        <f t="shared" si="44"/>
        <v>170083</v>
      </c>
      <c r="K473" s="962">
        <f t="shared" si="45"/>
        <v>0</v>
      </c>
      <c r="L473" s="962">
        <f t="shared" si="46"/>
        <v>0</v>
      </c>
      <c r="M473" s="962">
        <f t="shared" si="47"/>
        <v>0</v>
      </c>
      <c r="N473" s="962">
        <f t="shared" si="48"/>
        <v>0</v>
      </c>
    </row>
    <row r="474" spans="1:14" ht="15.6">
      <c r="A474" s="956"/>
      <c r="B474" s="956"/>
      <c r="C474" s="956"/>
      <c r="D474" s="958">
        <v>3028</v>
      </c>
      <c r="E474" s="959">
        <v>44985</v>
      </c>
      <c r="F474" s="966">
        <v>500066</v>
      </c>
      <c r="G474" s="956">
        <v>30</v>
      </c>
      <c r="H474" s="961">
        <f t="shared" si="42"/>
        <v>45015</v>
      </c>
      <c r="I474" s="962">
        <f t="shared" si="43"/>
        <v>2</v>
      </c>
      <c r="J474" s="962">
        <f t="shared" si="44"/>
        <v>500066</v>
      </c>
      <c r="K474" s="962">
        <f t="shared" si="45"/>
        <v>0</v>
      </c>
      <c r="L474" s="962">
        <f t="shared" si="46"/>
        <v>0</v>
      </c>
      <c r="M474" s="962">
        <f t="shared" si="47"/>
        <v>0</v>
      </c>
      <c r="N474" s="962">
        <f t="shared" si="48"/>
        <v>0</v>
      </c>
    </row>
    <row r="475" spans="1:14" ht="15.6">
      <c r="A475" s="956"/>
      <c r="B475" s="956"/>
      <c r="C475" s="956"/>
      <c r="D475" s="958">
        <v>3029</v>
      </c>
      <c r="E475" s="959">
        <v>44985</v>
      </c>
      <c r="F475" s="966">
        <v>774208</v>
      </c>
      <c r="G475" s="956">
        <v>30</v>
      </c>
      <c r="H475" s="961">
        <f t="shared" si="42"/>
        <v>45015</v>
      </c>
      <c r="I475" s="962">
        <f t="shared" si="43"/>
        <v>2</v>
      </c>
      <c r="J475" s="962">
        <f t="shared" si="44"/>
        <v>774208</v>
      </c>
      <c r="K475" s="962">
        <f t="shared" si="45"/>
        <v>0</v>
      </c>
      <c r="L475" s="962">
        <f t="shared" si="46"/>
        <v>0</v>
      </c>
      <c r="M475" s="962">
        <f t="shared" si="47"/>
        <v>0</v>
      </c>
      <c r="N475" s="962">
        <f t="shared" si="48"/>
        <v>0</v>
      </c>
    </row>
    <row r="476" spans="1:14" ht="15.6">
      <c r="A476" s="956"/>
      <c r="B476" s="956"/>
      <c r="C476" s="956"/>
      <c r="D476" s="958">
        <v>3034</v>
      </c>
      <c r="E476" s="959">
        <v>44986</v>
      </c>
      <c r="F476" s="964">
        <v>481517</v>
      </c>
      <c r="G476" s="956">
        <v>30</v>
      </c>
      <c r="H476" s="961">
        <f t="shared" si="42"/>
        <v>45016</v>
      </c>
      <c r="I476" s="962">
        <f t="shared" si="43"/>
        <v>1</v>
      </c>
      <c r="J476" s="962">
        <f t="shared" si="44"/>
        <v>481517</v>
      </c>
      <c r="K476" s="962">
        <f t="shared" si="45"/>
        <v>0</v>
      </c>
      <c r="L476" s="962">
        <f t="shared" si="46"/>
        <v>0</v>
      </c>
      <c r="M476" s="962">
        <f t="shared" si="47"/>
        <v>0</v>
      </c>
      <c r="N476" s="962">
        <f t="shared" si="48"/>
        <v>0</v>
      </c>
    </row>
    <row r="477" spans="1:14" ht="15.6">
      <c r="A477" s="956"/>
      <c r="B477" s="956"/>
      <c r="C477" s="956"/>
      <c r="D477" s="958">
        <v>3049</v>
      </c>
      <c r="E477" s="959">
        <v>44987</v>
      </c>
      <c r="F477" s="964">
        <v>727675</v>
      </c>
      <c r="G477" s="956">
        <v>30</v>
      </c>
      <c r="H477" s="961">
        <f t="shared" si="42"/>
        <v>45017</v>
      </c>
      <c r="I477" s="962">
        <f t="shared" si="43"/>
        <v>0</v>
      </c>
      <c r="J477" s="962">
        <f t="shared" si="44"/>
        <v>727675</v>
      </c>
      <c r="K477" s="962">
        <f t="shared" si="45"/>
        <v>0</v>
      </c>
      <c r="L477" s="962">
        <f t="shared" si="46"/>
        <v>0</v>
      </c>
      <c r="M477" s="962">
        <f t="shared" si="47"/>
        <v>0</v>
      </c>
      <c r="N477" s="962">
        <f t="shared" si="48"/>
        <v>0</v>
      </c>
    </row>
    <row r="478" spans="1:14" ht="15.6">
      <c r="A478" s="956"/>
      <c r="B478" s="956"/>
      <c r="C478" s="956"/>
      <c r="D478" s="958">
        <v>3073</v>
      </c>
      <c r="E478" s="959">
        <v>44990</v>
      </c>
      <c r="F478" s="964">
        <v>254869</v>
      </c>
      <c r="G478" s="956">
        <v>30</v>
      </c>
      <c r="H478" s="961">
        <f t="shared" si="42"/>
        <v>45020</v>
      </c>
      <c r="I478" s="962">
        <f t="shared" si="43"/>
        <v>-3</v>
      </c>
      <c r="J478" s="962">
        <f t="shared" si="44"/>
        <v>254869</v>
      </c>
      <c r="K478" s="962">
        <f t="shared" si="45"/>
        <v>0</v>
      </c>
      <c r="L478" s="962">
        <f t="shared" si="46"/>
        <v>0</v>
      </c>
      <c r="M478" s="962">
        <f t="shared" si="47"/>
        <v>0</v>
      </c>
      <c r="N478" s="962">
        <f t="shared" si="48"/>
        <v>0</v>
      </c>
    </row>
    <row r="479" spans="1:14" ht="15.6">
      <c r="A479" s="956"/>
      <c r="B479" s="956"/>
      <c r="C479" s="956"/>
      <c r="D479" s="958">
        <v>3074</v>
      </c>
      <c r="E479" s="959">
        <v>44990</v>
      </c>
      <c r="F479" s="964">
        <v>497555</v>
      </c>
      <c r="G479" s="956">
        <v>30</v>
      </c>
      <c r="H479" s="961">
        <f t="shared" si="42"/>
        <v>45020</v>
      </c>
      <c r="I479" s="962">
        <f t="shared" si="43"/>
        <v>-3</v>
      </c>
      <c r="J479" s="962">
        <f t="shared" si="44"/>
        <v>497555</v>
      </c>
      <c r="K479" s="962">
        <f t="shared" si="45"/>
        <v>0</v>
      </c>
      <c r="L479" s="962">
        <f t="shared" si="46"/>
        <v>0</v>
      </c>
      <c r="M479" s="962">
        <f t="shared" si="47"/>
        <v>0</v>
      </c>
      <c r="N479" s="962">
        <f t="shared" si="48"/>
        <v>0</v>
      </c>
    </row>
    <row r="480" spans="1:14" ht="15.6">
      <c r="A480" s="956"/>
      <c r="B480" s="956"/>
      <c r="C480" s="956"/>
      <c r="D480" s="958">
        <v>3102</v>
      </c>
      <c r="E480" s="959">
        <v>44994</v>
      </c>
      <c r="F480" s="964">
        <v>195657</v>
      </c>
      <c r="G480" s="956">
        <v>30</v>
      </c>
      <c r="H480" s="961">
        <f t="shared" si="42"/>
        <v>45024</v>
      </c>
      <c r="I480" s="962">
        <f t="shared" si="43"/>
        <v>-7</v>
      </c>
      <c r="J480" s="962">
        <f t="shared" si="44"/>
        <v>195657</v>
      </c>
      <c r="K480" s="962">
        <f t="shared" si="45"/>
        <v>0</v>
      </c>
      <c r="L480" s="962">
        <f t="shared" si="46"/>
        <v>0</v>
      </c>
      <c r="M480" s="962">
        <f t="shared" si="47"/>
        <v>0</v>
      </c>
      <c r="N480" s="962">
        <f t="shared" si="48"/>
        <v>0</v>
      </c>
    </row>
    <row r="481" spans="1:14" ht="15.6">
      <c r="A481" s="956"/>
      <c r="B481" s="956"/>
      <c r="C481" s="956"/>
      <c r="D481" s="958">
        <v>3111</v>
      </c>
      <c r="E481" s="959">
        <v>44995</v>
      </c>
      <c r="F481" s="964">
        <v>781723</v>
      </c>
      <c r="G481" s="956">
        <v>30</v>
      </c>
      <c r="H481" s="961">
        <f t="shared" si="42"/>
        <v>45025</v>
      </c>
      <c r="I481" s="962">
        <f t="shared" si="43"/>
        <v>-8</v>
      </c>
      <c r="J481" s="962">
        <f t="shared" si="44"/>
        <v>781723</v>
      </c>
      <c r="K481" s="962">
        <f t="shared" si="45"/>
        <v>0</v>
      </c>
      <c r="L481" s="962">
        <f t="shared" si="46"/>
        <v>0</v>
      </c>
      <c r="M481" s="962">
        <f t="shared" si="47"/>
        <v>0</v>
      </c>
      <c r="N481" s="962">
        <f t="shared" si="48"/>
        <v>0</v>
      </c>
    </row>
    <row r="482" spans="1:14" ht="15.6">
      <c r="A482" s="956"/>
      <c r="B482" s="956"/>
      <c r="C482" s="956"/>
      <c r="D482" s="958">
        <v>3118</v>
      </c>
      <c r="E482" s="959">
        <v>44996</v>
      </c>
      <c r="F482" s="964">
        <v>59035</v>
      </c>
      <c r="G482" s="956">
        <v>30</v>
      </c>
      <c r="H482" s="961">
        <f t="shared" si="42"/>
        <v>45026</v>
      </c>
      <c r="I482" s="962">
        <f t="shared" si="43"/>
        <v>-9</v>
      </c>
      <c r="J482" s="962">
        <f t="shared" si="44"/>
        <v>59035</v>
      </c>
      <c r="K482" s="962">
        <f t="shared" si="45"/>
        <v>0</v>
      </c>
      <c r="L482" s="962">
        <f t="shared" si="46"/>
        <v>0</v>
      </c>
      <c r="M482" s="962">
        <f t="shared" si="47"/>
        <v>0</v>
      </c>
      <c r="N482" s="962">
        <f t="shared" si="48"/>
        <v>0</v>
      </c>
    </row>
    <row r="483" spans="1:14" ht="15.6">
      <c r="A483" s="956"/>
      <c r="B483" s="956"/>
      <c r="C483" s="956"/>
      <c r="D483" s="958">
        <v>3143</v>
      </c>
      <c r="E483" s="959">
        <v>44998</v>
      </c>
      <c r="F483" s="964">
        <v>287555</v>
      </c>
      <c r="G483" s="956">
        <v>30</v>
      </c>
      <c r="H483" s="961">
        <f t="shared" si="42"/>
        <v>45028</v>
      </c>
      <c r="I483" s="962">
        <f t="shared" si="43"/>
        <v>-11</v>
      </c>
      <c r="J483" s="962">
        <f t="shared" si="44"/>
        <v>287555</v>
      </c>
      <c r="K483" s="962">
        <f t="shared" si="45"/>
        <v>0</v>
      </c>
      <c r="L483" s="962">
        <f t="shared" si="46"/>
        <v>0</v>
      </c>
      <c r="M483" s="962">
        <f t="shared" si="47"/>
        <v>0</v>
      </c>
      <c r="N483" s="962">
        <f t="shared" si="48"/>
        <v>0</v>
      </c>
    </row>
    <row r="484" spans="1:14" ht="15.6">
      <c r="A484" s="956"/>
      <c r="B484" s="956"/>
      <c r="C484" s="956"/>
      <c r="D484" s="958">
        <v>3144</v>
      </c>
      <c r="E484" s="959">
        <v>44998</v>
      </c>
      <c r="F484" s="964">
        <v>172960</v>
      </c>
      <c r="G484" s="956">
        <v>30</v>
      </c>
      <c r="H484" s="961">
        <f t="shared" si="42"/>
        <v>45028</v>
      </c>
      <c r="I484" s="962">
        <f t="shared" si="43"/>
        <v>-11</v>
      </c>
      <c r="J484" s="962">
        <f t="shared" si="44"/>
        <v>172960</v>
      </c>
      <c r="K484" s="962">
        <f t="shared" si="45"/>
        <v>0</v>
      </c>
      <c r="L484" s="962">
        <f t="shared" si="46"/>
        <v>0</v>
      </c>
      <c r="M484" s="962">
        <f t="shared" si="47"/>
        <v>0</v>
      </c>
      <c r="N484" s="962">
        <f t="shared" si="48"/>
        <v>0</v>
      </c>
    </row>
    <row r="485" spans="1:14" ht="15.6">
      <c r="A485" s="956"/>
      <c r="B485" s="956"/>
      <c r="C485" s="956"/>
      <c r="D485" s="958">
        <v>3171</v>
      </c>
      <c r="E485" s="959">
        <v>45001</v>
      </c>
      <c r="F485" s="964">
        <v>525988</v>
      </c>
      <c r="G485" s="956">
        <v>30</v>
      </c>
      <c r="H485" s="961">
        <f t="shared" si="42"/>
        <v>45031</v>
      </c>
      <c r="I485" s="962">
        <f t="shared" si="43"/>
        <v>-14</v>
      </c>
      <c r="J485" s="962">
        <f t="shared" si="44"/>
        <v>525988</v>
      </c>
      <c r="K485" s="962">
        <f t="shared" si="45"/>
        <v>0</v>
      </c>
      <c r="L485" s="962">
        <f t="shared" si="46"/>
        <v>0</v>
      </c>
      <c r="M485" s="962">
        <f t="shared" si="47"/>
        <v>0</v>
      </c>
      <c r="N485" s="962">
        <f t="shared" si="48"/>
        <v>0</v>
      </c>
    </row>
    <row r="486" spans="1:14" ht="15.6">
      <c r="A486" s="956"/>
      <c r="B486" s="956"/>
      <c r="C486" s="956"/>
      <c r="D486" s="958">
        <v>3172</v>
      </c>
      <c r="E486" s="959">
        <v>45001</v>
      </c>
      <c r="F486" s="964">
        <v>122746</v>
      </c>
      <c r="G486" s="956">
        <v>30</v>
      </c>
      <c r="H486" s="961">
        <f t="shared" si="42"/>
        <v>45031</v>
      </c>
      <c r="I486" s="962">
        <f t="shared" si="43"/>
        <v>-14</v>
      </c>
      <c r="J486" s="962">
        <f t="shared" si="44"/>
        <v>122746</v>
      </c>
      <c r="K486" s="962">
        <f t="shared" si="45"/>
        <v>0</v>
      </c>
      <c r="L486" s="962">
        <f t="shared" si="46"/>
        <v>0</v>
      </c>
      <c r="M486" s="962">
        <f t="shared" si="47"/>
        <v>0</v>
      </c>
      <c r="N486" s="962">
        <f t="shared" si="48"/>
        <v>0</v>
      </c>
    </row>
    <row r="487" spans="1:14" ht="15.6">
      <c r="A487" s="956"/>
      <c r="B487" s="956"/>
      <c r="C487" s="956"/>
      <c r="D487" s="958">
        <v>3189</v>
      </c>
      <c r="E487" s="959">
        <v>45004</v>
      </c>
      <c r="F487" s="964">
        <v>477624</v>
      </c>
      <c r="G487" s="956">
        <v>30</v>
      </c>
      <c r="H487" s="961">
        <f t="shared" si="42"/>
        <v>45034</v>
      </c>
      <c r="I487" s="962">
        <f t="shared" si="43"/>
        <v>-17</v>
      </c>
      <c r="J487" s="962">
        <f t="shared" si="44"/>
        <v>477624</v>
      </c>
      <c r="K487" s="962">
        <f t="shared" si="45"/>
        <v>0</v>
      </c>
      <c r="L487" s="962">
        <f t="shared" si="46"/>
        <v>0</v>
      </c>
      <c r="M487" s="962">
        <f t="shared" si="47"/>
        <v>0</v>
      </c>
      <c r="N487" s="962">
        <f t="shared" si="48"/>
        <v>0</v>
      </c>
    </row>
    <row r="488" spans="1:14" ht="15.6">
      <c r="A488" s="956"/>
      <c r="B488" s="956"/>
      <c r="C488" s="956"/>
      <c r="D488" s="958">
        <v>3201</v>
      </c>
      <c r="E488" s="959">
        <v>45005</v>
      </c>
      <c r="F488" s="964">
        <v>564832</v>
      </c>
      <c r="G488" s="956">
        <v>30</v>
      </c>
      <c r="H488" s="961">
        <f t="shared" si="42"/>
        <v>45035</v>
      </c>
      <c r="I488" s="962">
        <f t="shared" si="43"/>
        <v>-18</v>
      </c>
      <c r="J488" s="962">
        <f t="shared" si="44"/>
        <v>564832</v>
      </c>
      <c r="K488" s="962">
        <f t="shared" si="45"/>
        <v>0</v>
      </c>
      <c r="L488" s="962">
        <f t="shared" si="46"/>
        <v>0</v>
      </c>
      <c r="M488" s="962">
        <f t="shared" si="47"/>
        <v>0</v>
      </c>
      <c r="N488" s="962">
        <f t="shared" si="48"/>
        <v>0</v>
      </c>
    </row>
    <row r="489" spans="1:14" ht="15.6">
      <c r="A489" s="956"/>
      <c r="B489" s="956"/>
      <c r="C489" s="956"/>
      <c r="D489" s="958">
        <v>3206</v>
      </c>
      <c r="E489" s="959">
        <v>45005</v>
      </c>
      <c r="F489" s="964">
        <v>269969</v>
      </c>
      <c r="G489" s="956">
        <v>30</v>
      </c>
      <c r="H489" s="961">
        <f t="shared" si="42"/>
        <v>45035</v>
      </c>
      <c r="I489" s="962">
        <f t="shared" si="43"/>
        <v>-18</v>
      </c>
      <c r="J489" s="962">
        <f t="shared" si="44"/>
        <v>269969</v>
      </c>
      <c r="K489" s="962">
        <f t="shared" si="45"/>
        <v>0</v>
      </c>
      <c r="L489" s="962">
        <f t="shared" si="46"/>
        <v>0</v>
      </c>
      <c r="M489" s="962">
        <f t="shared" si="47"/>
        <v>0</v>
      </c>
      <c r="N489" s="962">
        <f t="shared" si="48"/>
        <v>0</v>
      </c>
    </row>
    <row r="490" spans="1:14" ht="15.6">
      <c r="A490" s="956"/>
      <c r="B490" s="956"/>
      <c r="C490" s="956"/>
      <c r="D490" s="958">
        <v>3207</v>
      </c>
      <c r="E490" s="959">
        <v>45006</v>
      </c>
      <c r="F490" s="964">
        <v>505360</v>
      </c>
      <c r="G490" s="956">
        <v>30</v>
      </c>
      <c r="H490" s="961">
        <f t="shared" si="42"/>
        <v>45036</v>
      </c>
      <c r="I490" s="962">
        <f t="shared" si="43"/>
        <v>-19</v>
      </c>
      <c r="J490" s="962">
        <f t="shared" si="44"/>
        <v>505360</v>
      </c>
      <c r="K490" s="962">
        <f t="shared" si="45"/>
        <v>0</v>
      </c>
      <c r="L490" s="962">
        <f t="shared" si="46"/>
        <v>0</v>
      </c>
      <c r="M490" s="962">
        <f t="shared" si="47"/>
        <v>0</v>
      </c>
      <c r="N490" s="962">
        <f t="shared" si="48"/>
        <v>0</v>
      </c>
    </row>
    <row r="491" spans="1:14" ht="15.6">
      <c r="A491" s="956"/>
      <c r="B491" s="956"/>
      <c r="C491" s="956"/>
      <c r="D491" s="958">
        <v>3232</v>
      </c>
      <c r="E491" s="959">
        <v>45008</v>
      </c>
      <c r="F491" s="964">
        <v>117658</v>
      </c>
      <c r="G491" s="956">
        <v>30</v>
      </c>
      <c r="H491" s="961">
        <f t="shared" si="42"/>
        <v>45038</v>
      </c>
      <c r="I491" s="962">
        <f t="shared" si="43"/>
        <v>-21</v>
      </c>
      <c r="J491" s="962">
        <f t="shared" si="44"/>
        <v>117658</v>
      </c>
      <c r="K491" s="962">
        <f t="shared" si="45"/>
        <v>0</v>
      </c>
      <c r="L491" s="962">
        <f t="shared" si="46"/>
        <v>0</v>
      </c>
      <c r="M491" s="962">
        <f t="shared" si="47"/>
        <v>0</v>
      </c>
      <c r="N491" s="962">
        <f t="shared" si="48"/>
        <v>0</v>
      </c>
    </row>
    <row r="492" spans="1:14" ht="15.6">
      <c r="A492" s="956"/>
      <c r="B492" s="956"/>
      <c r="C492" s="956"/>
      <c r="D492" s="958">
        <v>3235</v>
      </c>
      <c r="E492" s="959">
        <v>45008</v>
      </c>
      <c r="F492" s="964">
        <v>483309</v>
      </c>
      <c r="G492" s="956">
        <v>30</v>
      </c>
      <c r="H492" s="961">
        <f t="shared" si="42"/>
        <v>45038</v>
      </c>
      <c r="I492" s="962">
        <f t="shared" si="43"/>
        <v>-21</v>
      </c>
      <c r="J492" s="962">
        <f t="shared" si="44"/>
        <v>483309</v>
      </c>
      <c r="K492" s="962">
        <f t="shared" si="45"/>
        <v>0</v>
      </c>
      <c r="L492" s="962">
        <f t="shared" si="46"/>
        <v>0</v>
      </c>
      <c r="M492" s="962">
        <f t="shared" si="47"/>
        <v>0</v>
      </c>
      <c r="N492" s="962">
        <f t="shared" si="48"/>
        <v>0</v>
      </c>
    </row>
    <row r="493" spans="1:14" ht="15.6">
      <c r="A493" s="956"/>
      <c r="B493" s="956"/>
      <c r="C493" s="956"/>
      <c r="D493" s="958">
        <v>3237</v>
      </c>
      <c r="E493" s="959">
        <v>45008</v>
      </c>
      <c r="F493" s="964">
        <v>470470</v>
      </c>
      <c r="G493" s="956">
        <v>30</v>
      </c>
      <c r="H493" s="961">
        <f t="shared" si="42"/>
        <v>45038</v>
      </c>
      <c r="I493" s="962">
        <f t="shared" si="43"/>
        <v>-21</v>
      </c>
      <c r="J493" s="962">
        <f t="shared" si="44"/>
        <v>470470</v>
      </c>
      <c r="K493" s="962">
        <f t="shared" si="45"/>
        <v>0</v>
      </c>
      <c r="L493" s="962">
        <f t="shared" si="46"/>
        <v>0</v>
      </c>
      <c r="M493" s="962">
        <f t="shared" si="47"/>
        <v>0</v>
      </c>
      <c r="N493" s="962">
        <f t="shared" si="48"/>
        <v>0</v>
      </c>
    </row>
    <row r="494" spans="1:14" ht="15.6">
      <c r="A494" s="956"/>
      <c r="B494" s="956"/>
      <c r="C494" s="956"/>
      <c r="D494" s="958">
        <v>3267</v>
      </c>
      <c r="E494" s="959">
        <v>45011</v>
      </c>
      <c r="F494" s="964">
        <v>129726</v>
      </c>
      <c r="G494" s="956">
        <v>30</v>
      </c>
      <c r="H494" s="961">
        <f t="shared" si="42"/>
        <v>45041</v>
      </c>
      <c r="I494" s="962">
        <f t="shared" si="43"/>
        <v>-24</v>
      </c>
      <c r="J494" s="962">
        <f t="shared" si="44"/>
        <v>129726</v>
      </c>
      <c r="K494" s="962">
        <f t="shared" si="45"/>
        <v>0</v>
      </c>
      <c r="L494" s="962">
        <f t="shared" si="46"/>
        <v>0</v>
      </c>
      <c r="M494" s="962">
        <f t="shared" si="47"/>
        <v>0</v>
      </c>
      <c r="N494" s="962">
        <f t="shared" si="48"/>
        <v>0</v>
      </c>
    </row>
    <row r="495" spans="1:14" ht="15.6">
      <c r="A495" s="956"/>
      <c r="B495" s="956"/>
      <c r="C495" s="956"/>
      <c r="D495" s="958">
        <v>3303</v>
      </c>
      <c r="E495" s="959">
        <v>45015</v>
      </c>
      <c r="F495" s="964">
        <v>473611</v>
      </c>
      <c r="G495" s="956">
        <v>30</v>
      </c>
      <c r="H495" s="961">
        <f t="shared" si="42"/>
        <v>45045</v>
      </c>
      <c r="I495" s="962">
        <f t="shared" si="43"/>
        <v>-28</v>
      </c>
      <c r="J495" s="962">
        <f t="shared" si="44"/>
        <v>473611</v>
      </c>
      <c r="K495" s="962">
        <f t="shared" si="45"/>
        <v>0</v>
      </c>
      <c r="L495" s="962">
        <f t="shared" si="46"/>
        <v>0</v>
      </c>
      <c r="M495" s="962">
        <f t="shared" si="47"/>
        <v>0</v>
      </c>
      <c r="N495" s="962">
        <f t="shared" si="48"/>
        <v>0</v>
      </c>
    </row>
    <row r="496" spans="1:14" ht="15.6">
      <c r="A496" s="956"/>
      <c r="B496" s="956"/>
      <c r="C496" s="956"/>
      <c r="D496" s="958">
        <v>3312</v>
      </c>
      <c r="E496" s="959">
        <v>45016</v>
      </c>
      <c r="F496" s="964">
        <v>47791</v>
      </c>
      <c r="G496" s="956">
        <v>30</v>
      </c>
      <c r="H496" s="961">
        <f t="shared" si="42"/>
        <v>45046</v>
      </c>
      <c r="I496" s="962">
        <f t="shared" si="43"/>
        <v>-29</v>
      </c>
      <c r="J496" s="962">
        <f t="shared" si="44"/>
        <v>47791</v>
      </c>
      <c r="K496" s="962">
        <f t="shared" si="45"/>
        <v>0</v>
      </c>
      <c r="L496" s="962">
        <f t="shared" si="46"/>
        <v>0</v>
      </c>
      <c r="M496" s="962">
        <f t="shared" si="47"/>
        <v>0</v>
      </c>
      <c r="N496" s="962">
        <f t="shared" si="48"/>
        <v>0</v>
      </c>
    </row>
    <row r="497" spans="1:14" ht="15.6">
      <c r="A497" s="956"/>
      <c r="B497" s="956"/>
      <c r="C497" s="956"/>
      <c r="D497" s="958" t="s">
        <v>1188</v>
      </c>
      <c r="E497" s="959">
        <v>45016</v>
      </c>
      <c r="F497" s="964">
        <v>-190549</v>
      </c>
      <c r="G497" s="956">
        <v>30</v>
      </c>
      <c r="H497" s="961">
        <f t="shared" si="42"/>
        <v>45046</v>
      </c>
      <c r="I497" s="962">
        <f t="shared" si="43"/>
        <v>-29</v>
      </c>
      <c r="J497" s="962">
        <f t="shared" si="44"/>
        <v>-190549</v>
      </c>
      <c r="K497" s="962">
        <f t="shared" si="45"/>
        <v>0</v>
      </c>
      <c r="L497" s="962">
        <f t="shared" si="46"/>
        <v>0</v>
      </c>
      <c r="M497" s="962">
        <f t="shared" si="47"/>
        <v>0</v>
      </c>
      <c r="N497" s="962">
        <f t="shared" si="48"/>
        <v>0</v>
      </c>
    </row>
    <row r="498" spans="1:14" ht="15.6">
      <c r="A498" s="956"/>
      <c r="B498" s="956"/>
      <c r="C498" s="956"/>
      <c r="D498" s="958" t="s">
        <v>2755</v>
      </c>
      <c r="E498" s="959">
        <v>45016</v>
      </c>
      <c r="F498" s="964">
        <v>-16275</v>
      </c>
      <c r="G498" s="956">
        <v>30</v>
      </c>
      <c r="H498" s="961">
        <f t="shared" si="42"/>
        <v>45046</v>
      </c>
      <c r="I498" s="962">
        <f t="shared" si="43"/>
        <v>-29</v>
      </c>
      <c r="J498" s="962">
        <f t="shared" si="44"/>
        <v>-16275</v>
      </c>
      <c r="K498" s="962">
        <f t="shared" si="45"/>
        <v>0</v>
      </c>
      <c r="L498" s="962">
        <f t="shared" si="46"/>
        <v>0</v>
      </c>
      <c r="M498" s="962">
        <f t="shared" si="47"/>
        <v>0</v>
      </c>
      <c r="N498" s="962">
        <f t="shared" si="48"/>
        <v>0</v>
      </c>
    </row>
    <row r="499" spans="1:14" ht="15.6">
      <c r="A499" s="956"/>
      <c r="B499" s="956"/>
      <c r="C499" s="956"/>
      <c r="D499" s="958" t="s">
        <v>2755</v>
      </c>
      <c r="E499" s="959">
        <v>45016</v>
      </c>
      <c r="F499" s="964">
        <v>-17027</v>
      </c>
      <c r="G499" s="956">
        <v>30</v>
      </c>
      <c r="H499" s="961">
        <f t="shared" si="42"/>
        <v>45046</v>
      </c>
      <c r="I499" s="962">
        <f t="shared" si="43"/>
        <v>-29</v>
      </c>
      <c r="J499" s="962">
        <f t="shared" si="44"/>
        <v>-17027</v>
      </c>
      <c r="K499" s="962">
        <f t="shared" si="45"/>
        <v>0</v>
      </c>
      <c r="L499" s="962">
        <f t="shared" si="46"/>
        <v>0</v>
      </c>
      <c r="M499" s="962">
        <f t="shared" si="47"/>
        <v>0</v>
      </c>
      <c r="N499" s="962">
        <f t="shared" si="48"/>
        <v>0</v>
      </c>
    </row>
    <row r="500" spans="1:14" ht="15.6">
      <c r="A500" s="956"/>
      <c r="B500" s="956"/>
      <c r="C500" s="956"/>
      <c r="D500" s="958" t="s">
        <v>2755</v>
      </c>
      <c r="E500" s="959">
        <v>45016</v>
      </c>
      <c r="F500" s="964">
        <f>-16384-0.5</f>
        <v>-16384.5</v>
      </c>
      <c r="G500" s="956">
        <v>30</v>
      </c>
      <c r="H500" s="961">
        <f t="shared" si="42"/>
        <v>45046</v>
      </c>
      <c r="I500" s="962">
        <f t="shared" si="43"/>
        <v>-29</v>
      </c>
      <c r="J500" s="962">
        <f t="shared" si="44"/>
        <v>-16384.5</v>
      </c>
      <c r="K500" s="962">
        <f t="shared" si="45"/>
        <v>0</v>
      </c>
      <c r="L500" s="962">
        <f t="shared" si="46"/>
        <v>0</v>
      </c>
      <c r="M500" s="962">
        <f t="shared" si="47"/>
        <v>0</v>
      </c>
      <c r="N500" s="962">
        <f t="shared" si="48"/>
        <v>0</v>
      </c>
    </row>
    <row r="501" spans="1:14" ht="15.6">
      <c r="A501" s="956"/>
      <c r="B501" s="956"/>
      <c r="C501" s="956"/>
      <c r="D501" s="958"/>
      <c r="E501" s="959">
        <v>45016</v>
      </c>
      <c r="F501" s="964">
        <v>-185350</v>
      </c>
      <c r="G501" s="956">
        <v>30</v>
      </c>
      <c r="H501" s="961">
        <f t="shared" si="42"/>
        <v>45046</v>
      </c>
      <c r="I501" s="962">
        <f t="shared" si="43"/>
        <v>-29</v>
      </c>
      <c r="J501" s="962">
        <f t="shared" si="44"/>
        <v>-185350</v>
      </c>
      <c r="K501" s="962">
        <f t="shared" si="45"/>
        <v>0</v>
      </c>
      <c r="L501" s="962">
        <f t="shared" si="46"/>
        <v>0</v>
      </c>
      <c r="M501" s="962">
        <f t="shared" si="47"/>
        <v>0</v>
      </c>
      <c r="N501" s="962">
        <f t="shared" si="48"/>
        <v>0</v>
      </c>
    </row>
    <row r="502" spans="1:14" ht="15.6">
      <c r="A502" s="956"/>
      <c r="B502" s="956"/>
      <c r="C502" s="956"/>
      <c r="D502" s="958"/>
      <c r="E502" s="959"/>
      <c r="F502" s="965">
        <f>SUM(F436:F501)</f>
        <v>22024572.5</v>
      </c>
      <c r="G502" s="956"/>
      <c r="H502" s="961"/>
      <c r="I502" s="962"/>
      <c r="J502" s="962"/>
      <c r="K502" s="962"/>
      <c r="L502" s="962"/>
      <c r="M502" s="962"/>
      <c r="N502" s="962"/>
    </row>
    <row r="503" spans="1:14" ht="15.6">
      <c r="A503" s="1063"/>
      <c r="B503" s="1063"/>
      <c r="C503" s="1063"/>
      <c r="D503" s="1064"/>
      <c r="E503" s="1065"/>
      <c r="F503" s="1066"/>
      <c r="G503" s="1063"/>
      <c r="H503" s="1067"/>
      <c r="I503" s="1068"/>
      <c r="J503" s="1068"/>
      <c r="K503" s="1068"/>
      <c r="L503" s="1068"/>
      <c r="M503" s="1068"/>
      <c r="N503" s="1068"/>
    </row>
    <row r="504" spans="1:14" ht="15.6">
      <c r="A504" s="1063">
        <v>21</v>
      </c>
      <c r="B504" s="1063" t="s">
        <v>2770</v>
      </c>
      <c r="C504" s="1063"/>
      <c r="D504" s="1064"/>
      <c r="E504" s="1065"/>
      <c r="F504" s="1068">
        <v>-33034</v>
      </c>
      <c r="G504" s="1063"/>
      <c r="H504" s="1067"/>
      <c r="I504" s="1068"/>
      <c r="J504" s="962">
        <f t="shared" ref="J504:J505" si="49">IF(I504&lt;=30,F504,0)</f>
        <v>-33034</v>
      </c>
      <c r="K504" s="1068"/>
      <c r="L504" s="1068"/>
      <c r="M504" s="1068"/>
      <c r="N504" s="1068"/>
    </row>
    <row r="505" spans="1:14" ht="15.6">
      <c r="A505" s="1063">
        <v>22</v>
      </c>
      <c r="B505" s="1063" t="s">
        <v>2771</v>
      </c>
      <c r="C505" s="1063"/>
      <c r="D505" s="1064"/>
      <c r="E505" s="1065"/>
      <c r="F505" s="1068">
        <v>-7528</v>
      </c>
      <c r="G505" s="1063"/>
      <c r="H505" s="1067"/>
      <c r="I505" s="1068"/>
      <c r="J505" s="962">
        <f t="shared" si="49"/>
        <v>-7528</v>
      </c>
      <c r="K505" s="1068"/>
      <c r="L505" s="1068"/>
      <c r="M505" s="1068"/>
      <c r="N505" s="1068"/>
    </row>
    <row r="506" spans="1:14">
      <c r="A506" s="956"/>
      <c r="B506" s="956"/>
      <c r="C506" s="956"/>
      <c r="D506" s="956"/>
      <c r="E506" s="961"/>
      <c r="F506" s="962"/>
      <c r="G506" s="956"/>
      <c r="H506" s="961">
        <f>+E506+G506</f>
        <v>0</v>
      </c>
      <c r="I506" s="962">
        <f>+$Q$1-H506+1</f>
        <v>45017</v>
      </c>
      <c r="J506" s="962">
        <f>IF(I506&lt;=30,F506,0)</f>
        <v>0</v>
      </c>
      <c r="K506" s="962">
        <f>IF(I506&lt;=30,0,IF(I506&gt;60,0,F506))</f>
        <v>0</v>
      </c>
      <c r="L506" s="962">
        <f>IF(I506&lt;=60,0,IF(I506&gt;90,0,F506))</f>
        <v>0</v>
      </c>
      <c r="M506" s="962">
        <f>IF(I506&lt;=90,0,IF(I506&gt;120,0,F506))</f>
        <v>0</v>
      </c>
      <c r="N506" s="962">
        <f>IF(I506&lt;=120,0,F506)</f>
        <v>0</v>
      </c>
    </row>
    <row r="507" spans="1:14">
      <c r="A507" s="956"/>
      <c r="B507" s="956"/>
      <c r="C507" s="956"/>
      <c r="D507" s="956"/>
      <c r="E507" s="961"/>
      <c r="F507" s="962"/>
      <c r="G507" s="956"/>
      <c r="H507" s="961">
        <f>+E507+G507</f>
        <v>0</v>
      </c>
      <c r="I507" s="962">
        <f>+$Q$1-H507+1</f>
        <v>45017</v>
      </c>
      <c r="J507" s="962">
        <f>IF(I507&lt;=30,F507,0)</f>
        <v>0</v>
      </c>
      <c r="K507" s="962">
        <f>IF(I507&lt;=30,0,IF(I507&gt;60,0,F507))</f>
        <v>0</v>
      </c>
      <c r="L507" s="962">
        <f>IF(I507&lt;=60,0,IF(I507&gt;90,0,F507))</f>
        <v>0</v>
      </c>
      <c r="M507" s="962">
        <f>IF(I507&lt;=90,0,IF(I507&gt;120,0,F507))</f>
        <v>0</v>
      </c>
      <c r="N507" s="962">
        <f>IF(I507&lt;=120,0,F507)</f>
        <v>0</v>
      </c>
    </row>
    <row r="508" spans="1:14" s="980" customFormat="1" ht="21.75" customHeight="1">
      <c r="A508" s="976"/>
      <c r="B508" s="977" t="s">
        <v>911</v>
      </c>
      <c r="C508" s="976"/>
      <c r="D508" s="977"/>
      <c r="E508" s="978"/>
      <c r="F508" s="979">
        <f>+F10+F72+F76+F85+F137+F146+F152+F156+F160+F255+F262+F269+F277+F386+F389+F394+F423+F429+F434+F502+F504+F505</f>
        <v>115802242</v>
      </c>
      <c r="G508" s="979"/>
      <c r="H508" s="978"/>
      <c r="I508" s="979"/>
      <c r="J508" s="979">
        <f>SUM(J7:J507)</f>
        <v>113018888</v>
      </c>
      <c r="K508" s="979">
        <f>SUM(K7:K507)</f>
        <v>2747779</v>
      </c>
      <c r="L508" s="979">
        <f>SUM(L7:L507)</f>
        <v>0</v>
      </c>
      <c r="M508" s="979">
        <f>SUM(M7:M507)</f>
        <v>0</v>
      </c>
      <c r="N508" s="979">
        <f>SUM(N7:N507)</f>
        <v>35575</v>
      </c>
    </row>
    <row r="509" spans="1:14">
      <c r="B509" s="981"/>
      <c r="C509" s="982"/>
      <c r="D509" s="947"/>
      <c r="E509" s="983"/>
      <c r="F509" s="984"/>
      <c r="G509" s="985"/>
      <c r="H509" s="983"/>
      <c r="I509" s="947"/>
      <c r="J509" s="947"/>
    </row>
    <row r="510" spans="1:14">
      <c r="B510" s="981"/>
      <c r="C510" s="982"/>
      <c r="D510" s="947"/>
      <c r="E510" s="986"/>
      <c r="F510" s="984"/>
      <c r="G510" s="985"/>
      <c r="H510" s="983"/>
      <c r="I510" s="947"/>
      <c r="J510" s="947"/>
    </row>
    <row r="511" spans="1:14">
      <c r="B511" s="981"/>
      <c r="C511" s="982"/>
      <c r="D511" s="947"/>
      <c r="E511" s="986"/>
      <c r="F511" s="987"/>
      <c r="G511" s="985"/>
      <c r="H511" s="983"/>
      <c r="I511" s="947"/>
      <c r="J511" s="947"/>
    </row>
    <row r="512" spans="1:14">
      <c r="B512" s="981"/>
      <c r="C512" s="982"/>
      <c r="D512" s="947"/>
      <c r="E512" s="988"/>
      <c r="F512" s="984"/>
      <c r="G512" s="985"/>
      <c r="H512" s="983"/>
      <c r="I512" s="947"/>
      <c r="J512" s="947"/>
    </row>
    <row r="513" spans="2:14">
      <c r="B513" s="981"/>
      <c r="C513" s="982"/>
      <c r="D513" s="947"/>
      <c r="E513" s="986"/>
      <c r="F513" s="984"/>
      <c r="G513" s="985"/>
      <c r="H513" s="983"/>
      <c r="I513" s="947"/>
      <c r="J513" s="947"/>
    </row>
    <row r="514" spans="2:14">
      <c r="B514" s="981"/>
      <c r="C514" s="982"/>
      <c r="D514" s="947"/>
      <c r="E514" s="986"/>
      <c r="F514" s="987"/>
      <c r="G514" s="985"/>
      <c r="H514" s="983"/>
      <c r="I514" s="947"/>
      <c r="J514" s="989"/>
    </row>
    <row r="515" spans="2:14">
      <c r="B515" s="981"/>
      <c r="C515" s="982"/>
      <c r="D515" s="947"/>
      <c r="E515" s="983"/>
      <c r="F515" s="984"/>
      <c r="G515" s="985"/>
      <c r="H515" s="983"/>
      <c r="I515" s="947"/>
      <c r="J515" s="947"/>
    </row>
    <row r="516" spans="2:14">
      <c r="B516" s="981"/>
      <c r="C516" s="982"/>
      <c r="D516" s="947"/>
      <c r="E516" s="983"/>
      <c r="F516" s="984"/>
      <c r="G516" s="985"/>
      <c r="H516" s="983"/>
      <c r="I516" s="947"/>
      <c r="J516" s="947"/>
    </row>
    <row r="517" spans="2:14">
      <c r="B517" s="981"/>
      <c r="C517" s="982"/>
      <c r="D517" s="947"/>
      <c r="E517" s="983"/>
      <c r="F517" s="984"/>
      <c r="G517" s="985"/>
      <c r="H517" s="983"/>
      <c r="I517" s="947"/>
      <c r="J517" s="947"/>
    </row>
    <row r="518" spans="2:14">
      <c r="B518" s="981"/>
      <c r="C518" s="2374" t="s">
        <v>2756</v>
      </c>
      <c r="D518" s="2374"/>
      <c r="E518" s="2374"/>
      <c r="F518" s="990"/>
      <c r="G518" s="991"/>
      <c r="H518" s="992"/>
      <c r="I518" s="993"/>
      <c r="J518" s="992"/>
      <c r="K518" s="992"/>
      <c r="L518" s="992"/>
      <c r="M518" s="992"/>
      <c r="N518" s="992"/>
    </row>
    <row r="519" spans="2:14">
      <c r="B519" s="981"/>
      <c r="C519" s="2375" t="s">
        <v>2757</v>
      </c>
      <c r="D519" s="2375"/>
      <c r="E519" s="2375"/>
      <c r="F519" s="994">
        <f>SUMIF($E$7:$E$507,C519,$H$7:$H$507)</f>
        <v>0</v>
      </c>
      <c r="G519" s="995" t="e">
        <f t="shared" ref="G519:G525" si="50">F519/$H$528%</f>
        <v>#DIV/0!</v>
      </c>
      <c r="H519" s="996"/>
      <c r="I519" s="997"/>
      <c r="J519" s="995">
        <f t="shared" ref="J519:J524" si="51">SUMIF($E$7:$E$507,C519,$L$7:$L$507)</f>
        <v>0</v>
      </c>
      <c r="K519" s="995">
        <f t="shared" ref="K519:K524" si="52">SUMIF($E$7:$E$507,C519,$M$7:$M$507)</f>
        <v>0</v>
      </c>
      <c r="L519" s="995">
        <f t="shared" ref="L519:L524" si="53">SUMIF($E$7:$E$507,$E519,$N$7:$N$507)</f>
        <v>0</v>
      </c>
      <c r="M519" s="995">
        <f t="shared" ref="M519:M524" si="54">SUMIF($E$7:$E$507,$E519,$O$7:$O$507)</f>
        <v>0</v>
      </c>
      <c r="N519" s="995">
        <f t="shared" ref="N519:N524" si="55">SUMIF($E$7:$E$507,$E519,$P$7:$P$507)</f>
        <v>0</v>
      </c>
    </row>
    <row r="520" spans="2:14">
      <c r="B520" s="981"/>
      <c r="C520" s="2375" t="s">
        <v>2758</v>
      </c>
      <c r="D520" s="2375"/>
      <c r="E520" s="2375"/>
      <c r="F520" s="994">
        <f>SUMIF($E$7:$E$507,C520,$H$7:$H$507)</f>
        <v>0</v>
      </c>
      <c r="G520" s="998" t="e">
        <f t="shared" si="50"/>
        <v>#DIV/0!</v>
      </c>
      <c r="H520" s="996"/>
      <c r="I520" s="997"/>
      <c r="J520" s="995">
        <f t="shared" si="51"/>
        <v>0</v>
      </c>
      <c r="K520" s="995">
        <f t="shared" si="52"/>
        <v>0</v>
      </c>
      <c r="L520" s="995">
        <f t="shared" si="53"/>
        <v>0</v>
      </c>
      <c r="M520" s="995">
        <f t="shared" si="54"/>
        <v>0</v>
      </c>
      <c r="N520" s="995">
        <f t="shared" si="55"/>
        <v>0</v>
      </c>
    </row>
    <row r="521" spans="2:14">
      <c r="B521" s="981"/>
      <c r="C521" s="2375"/>
      <c r="D521" s="2375"/>
      <c r="E521" s="2375"/>
      <c r="F521" s="994">
        <f>SUMIF($E$7:$E$507,C521,$G$7:$G$507)</f>
        <v>0</v>
      </c>
      <c r="G521" s="998" t="e">
        <f t="shared" si="50"/>
        <v>#DIV/0!</v>
      </c>
      <c r="H521" s="996"/>
      <c r="I521" s="997"/>
      <c r="J521" s="995">
        <f t="shared" si="51"/>
        <v>0</v>
      </c>
      <c r="K521" s="995">
        <f t="shared" si="52"/>
        <v>0</v>
      </c>
      <c r="L521" s="995">
        <f t="shared" si="53"/>
        <v>0</v>
      </c>
      <c r="M521" s="995">
        <f t="shared" si="54"/>
        <v>0</v>
      </c>
      <c r="N521" s="995">
        <f t="shared" si="55"/>
        <v>0</v>
      </c>
    </row>
    <row r="522" spans="2:14">
      <c r="B522" s="981"/>
      <c r="C522" s="2375"/>
      <c r="D522" s="2375"/>
      <c r="E522" s="2375"/>
      <c r="F522" s="994">
        <f>SUMIF($E$7:$E$507,C522,$G$7:$G$507)</f>
        <v>0</v>
      </c>
      <c r="G522" s="998" t="e">
        <f t="shared" si="50"/>
        <v>#DIV/0!</v>
      </c>
      <c r="H522" s="996"/>
      <c r="I522" s="997"/>
      <c r="J522" s="995">
        <f t="shared" si="51"/>
        <v>0</v>
      </c>
      <c r="K522" s="995">
        <f t="shared" si="52"/>
        <v>0</v>
      </c>
      <c r="L522" s="995">
        <f t="shared" si="53"/>
        <v>0</v>
      </c>
      <c r="M522" s="995">
        <f t="shared" si="54"/>
        <v>0</v>
      </c>
      <c r="N522" s="995">
        <f t="shared" si="55"/>
        <v>0</v>
      </c>
    </row>
    <row r="523" spans="2:14">
      <c r="B523" s="981"/>
      <c r="C523" s="2375"/>
      <c r="D523" s="2375"/>
      <c r="E523" s="2375"/>
      <c r="F523" s="994">
        <f>SUMIF($E$7:$E$507,C523,$G$7:$G$507)</f>
        <v>0</v>
      </c>
      <c r="G523" s="998" t="e">
        <f t="shared" si="50"/>
        <v>#DIV/0!</v>
      </c>
      <c r="H523" s="996"/>
      <c r="I523" s="997"/>
      <c r="J523" s="995">
        <f t="shared" si="51"/>
        <v>0</v>
      </c>
      <c r="K523" s="995">
        <f t="shared" si="52"/>
        <v>0</v>
      </c>
      <c r="L523" s="995">
        <f t="shared" si="53"/>
        <v>0</v>
      </c>
      <c r="M523" s="995">
        <f t="shared" si="54"/>
        <v>0</v>
      </c>
      <c r="N523" s="995">
        <f t="shared" si="55"/>
        <v>0</v>
      </c>
    </row>
    <row r="524" spans="2:14">
      <c r="B524" s="981"/>
      <c r="C524" s="2375"/>
      <c r="D524" s="2375"/>
      <c r="E524" s="2375"/>
      <c r="F524" s="994">
        <f>SUMIF($E$7:$E$507,C524,$G$7:$G$507)</f>
        <v>0</v>
      </c>
      <c r="G524" s="998" t="e">
        <f t="shared" si="50"/>
        <v>#DIV/0!</v>
      </c>
      <c r="H524" s="996"/>
      <c r="I524" s="997"/>
      <c r="J524" s="995">
        <f t="shared" si="51"/>
        <v>0</v>
      </c>
      <c r="K524" s="995">
        <f t="shared" si="52"/>
        <v>0</v>
      </c>
      <c r="L524" s="995">
        <f t="shared" si="53"/>
        <v>0</v>
      </c>
      <c r="M524" s="995">
        <f t="shared" si="54"/>
        <v>0</v>
      </c>
      <c r="N524" s="995">
        <f t="shared" si="55"/>
        <v>0</v>
      </c>
    </row>
    <row r="525" spans="2:14">
      <c r="B525" s="981"/>
      <c r="C525" s="2375"/>
      <c r="D525" s="2375"/>
      <c r="E525" s="2375"/>
      <c r="F525" s="994">
        <f>SUMIF($E$7:$E$507,C525,$G$7:$G$507)</f>
        <v>0</v>
      </c>
      <c r="G525" s="998" t="e">
        <f t="shared" si="50"/>
        <v>#DIV/0!</v>
      </c>
      <c r="H525" s="996"/>
      <c r="I525" s="997"/>
      <c r="J525" s="996"/>
      <c r="K525" s="996"/>
      <c r="L525" s="996"/>
      <c r="M525" s="996"/>
      <c r="N525" s="996"/>
    </row>
    <row r="526" spans="2:14">
      <c r="B526" s="981"/>
      <c r="D526" s="999"/>
      <c r="E526" s="947"/>
      <c r="F526" s="1000"/>
      <c r="G526" s="985"/>
      <c r="H526" s="1000"/>
      <c r="I526" s="993"/>
      <c r="J526" s="1000"/>
      <c r="K526" s="1000"/>
      <c r="L526" s="1000"/>
      <c r="M526" s="1000"/>
      <c r="N526" s="1000"/>
    </row>
    <row r="527" spans="2:14">
      <c r="B527" s="981"/>
      <c r="D527" s="999"/>
      <c r="E527" s="947"/>
      <c r="F527" s="1000"/>
      <c r="G527" s="985"/>
      <c r="H527" s="1000"/>
      <c r="I527" s="993"/>
      <c r="J527" s="1000"/>
      <c r="K527" s="1000"/>
      <c r="L527" s="1000"/>
      <c r="M527" s="1000"/>
      <c r="N527" s="1000"/>
    </row>
    <row r="528" spans="2:14">
      <c r="B528" s="981"/>
      <c r="C528" s="2376" t="s">
        <v>2759</v>
      </c>
      <c r="D528" s="2376"/>
      <c r="E528" s="2376"/>
      <c r="F528" s="1001">
        <f>SUM(F7:F507)</f>
        <v>231645046</v>
      </c>
      <c r="G528" s="1002"/>
      <c r="H528" s="1003"/>
      <c r="I528" s="1004"/>
      <c r="J528" s="1001">
        <f>SUM(J7:J507)</f>
        <v>113018888</v>
      </c>
      <c r="K528" s="1001">
        <f>SUM(K7:K507)</f>
        <v>2747779</v>
      </c>
      <c r="L528" s="1001">
        <f>SUM(L7:L507)</f>
        <v>0</v>
      </c>
      <c r="M528" s="1001">
        <f>SUM(M7:M507)</f>
        <v>0</v>
      </c>
      <c r="N528" s="1001">
        <f>SUM(N7:N507)</f>
        <v>35575</v>
      </c>
    </row>
    <row r="529" spans="2:14">
      <c r="B529" s="981"/>
      <c r="C529" s="1005"/>
      <c r="D529" s="1006"/>
      <c r="E529" s="1007"/>
      <c r="F529" s="996"/>
      <c r="G529" s="995"/>
      <c r="H529" s="996"/>
      <c r="I529" s="997"/>
      <c r="J529" s="996"/>
      <c r="K529" s="996"/>
      <c r="L529" s="996"/>
      <c r="M529" s="996"/>
      <c r="N529" s="996"/>
    </row>
    <row r="530" spans="2:14">
      <c r="B530" s="981"/>
      <c r="C530" s="2372" t="s">
        <v>2760</v>
      </c>
      <c r="D530" s="2372"/>
      <c r="E530" s="2372"/>
      <c r="F530" s="1008">
        <f>SUM(F7:F507)-SUM(F519:F525)</f>
        <v>231645046</v>
      </c>
      <c r="G530" s="1009"/>
      <c r="H530" s="1010"/>
      <c r="I530" s="1011"/>
      <c r="J530" s="1008">
        <f>SUM(J7:J507)-SUM(J519:J525)</f>
        <v>113018888</v>
      </c>
      <c r="K530" s="1008">
        <f>SUM(K7:K507)-SUM(K519:K525)</f>
        <v>2747779</v>
      </c>
      <c r="L530" s="1008">
        <f>SUM(L7:L507)-SUM(L519:L525)</f>
        <v>0</v>
      </c>
      <c r="M530" s="1008">
        <f>SUM(M7:M507)-SUM(M519:M525)</f>
        <v>0</v>
      </c>
      <c r="N530" s="1008">
        <f>SUM(N7:N507)-SUM(N519:N525)</f>
        <v>35575</v>
      </c>
    </row>
  </sheetData>
  <autoFilter ref="J6:N508" xr:uid="{00000000-0009-0000-0000-000013000000}"/>
  <mergeCells count="22">
    <mergeCell ref="A1:N1"/>
    <mergeCell ref="A3:N3"/>
    <mergeCell ref="A5:A6"/>
    <mergeCell ref="B5:B6"/>
    <mergeCell ref="C5:C6"/>
    <mergeCell ref="D5:D6"/>
    <mergeCell ref="E5:E6"/>
    <mergeCell ref="F5:F6"/>
    <mergeCell ref="G5:G6"/>
    <mergeCell ref="H5:H6"/>
    <mergeCell ref="C530:E530"/>
    <mergeCell ref="I5:I6"/>
    <mergeCell ref="J5:N5"/>
    <mergeCell ref="C518:E518"/>
    <mergeCell ref="C519:E519"/>
    <mergeCell ref="C520:E520"/>
    <mergeCell ref="C521:E521"/>
    <mergeCell ref="C522:E522"/>
    <mergeCell ref="C523:E523"/>
    <mergeCell ref="C524:E524"/>
    <mergeCell ref="C525:E525"/>
    <mergeCell ref="C528:E528"/>
  </mergeCells>
  <pageMargins left="0.7" right="0.7" top="0.75" bottom="0.75" header="0.3" footer="0.3"/>
  <pageSetup scale="4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23"/>
  <sheetViews>
    <sheetView workbookViewId="0">
      <selection activeCell="H46" sqref="H46"/>
    </sheetView>
  </sheetViews>
  <sheetFormatPr defaultRowHeight="14.4"/>
  <cols>
    <col min="2" max="2" width="41" customWidth="1"/>
    <col min="3" max="3" width="14.88671875" bestFit="1" customWidth="1"/>
  </cols>
  <sheetData>
    <row r="2" spans="2:3">
      <c r="B2" s="146" t="s">
        <v>2647</v>
      </c>
    </row>
    <row r="4" spans="2:3">
      <c r="B4" s="505" t="s">
        <v>532</v>
      </c>
      <c r="C4" s="505" t="s">
        <v>2152</v>
      </c>
    </row>
    <row r="5" spans="2:3">
      <c r="B5" s="152" t="s">
        <v>2648</v>
      </c>
      <c r="C5" s="910">
        <f>+BSPL!G28</f>
        <v>26922650</v>
      </c>
    </row>
    <row r="6" spans="2:3">
      <c r="B6" s="152" t="s">
        <v>2649</v>
      </c>
      <c r="C6" s="910">
        <f>+BSPL!G160</f>
        <v>8664946</v>
      </c>
    </row>
    <row r="7" spans="2:3" ht="28.8">
      <c r="B7" s="670" t="s">
        <v>2650</v>
      </c>
      <c r="C7" s="910">
        <f>+BSPL!G153+BSPL!G167+BSPL!G190</f>
        <v>149455292.07525888</v>
      </c>
    </row>
    <row r="8" spans="2:3" ht="28.8">
      <c r="B8" s="670" t="s">
        <v>2651</v>
      </c>
      <c r="C8" s="910">
        <f>+BSPL!G379-BSPL!G372</f>
        <v>110122528</v>
      </c>
    </row>
    <row r="9" spans="2:3">
      <c r="B9" s="147" t="s">
        <v>2652</v>
      </c>
      <c r="C9" s="911">
        <f>SUM(C5:C8)</f>
        <v>295165416.07525885</v>
      </c>
    </row>
    <row r="10" spans="2:3">
      <c r="B10" s="152" t="s">
        <v>2632</v>
      </c>
      <c r="C10" s="910">
        <v>0</v>
      </c>
    </row>
    <row r="11" spans="2:3">
      <c r="B11" s="152" t="s">
        <v>2653</v>
      </c>
      <c r="C11" s="910">
        <v>0</v>
      </c>
    </row>
    <row r="12" spans="2:3">
      <c r="B12" s="152" t="s">
        <v>2654</v>
      </c>
      <c r="C12" s="910">
        <v>0</v>
      </c>
    </row>
    <row r="13" spans="2:3">
      <c r="B13" s="147" t="s">
        <v>2655</v>
      </c>
      <c r="C13" s="911">
        <f>SUM(C10:C12)</f>
        <v>0</v>
      </c>
    </row>
    <row r="14" spans="2:3">
      <c r="B14" s="147" t="s">
        <v>2656</v>
      </c>
      <c r="C14" s="911">
        <f>+C9-C13</f>
        <v>295165416.07525885</v>
      </c>
    </row>
    <row r="16" spans="2:3">
      <c r="B16" s="146" t="s">
        <v>2659</v>
      </c>
    </row>
    <row r="18" spans="2:3">
      <c r="B18" t="s">
        <v>2660</v>
      </c>
      <c r="C18" s="539">
        <v>8400000</v>
      </c>
    </row>
    <row r="19" spans="2:3">
      <c r="B19" t="s">
        <v>2661</v>
      </c>
      <c r="C19" s="912">
        <f>+SUM('Dir Rem'!C17:F17)</f>
        <v>4800000</v>
      </c>
    </row>
    <row r="20" spans="2:3">
      <c r="B20" s="899" t="s">
        <v>2663</v>
      </c>
      <c r="C20" s="909">
        <f>+IF(C19&gt;C18,C19-C18,0)</f>
        <v>0</v>
      </c>
    </row>
    <row r="21" spans="2:3">
      <c r="B21" t="s">
        <v>2662</v>
      </c>
      <c r="C21" s="539">
        <v>0</v>
      </c>
    </row>
    <row r="22" spans="2:3">
      <c r="B22" t="s">
        <v>2661</v>
      </c>
      <c r="C22" s="912">
        <v>0</v>
      </c>
    </row>
    <row r="23" spans="2:3">
      <c r="B23" s="899" t="s">
        <v>2663</v>
      </c>
      <c r="C23" s="1012">
        <f>+IF(C22&gt;C21,C22-C21,0)</f>
        <v>0</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M17"/>
  <sheetViews>
    <sheetView workbookViewId="0">
      <selection activeCell="H46" sqref="H46"/>
    </sheetView>
  </sheetViews>
  <sheetFormatPr defaultRowHeight="14.4"/>
  <cols>
    <col min="2" max="2" width="7.5546875" bestFit="1" customWidth="1"/>
    <col min="3" max="3" width="10.109375" style="3" bestFit="1" customWidth="1"/>
    <col min="4" max="4" width="14.33203125" style="3" bestFit="1" customWidth="1"/>
    <col min="5" max="5" width="13.33203125" style="3" customWidth="1"/>
    <col min="6" max="6" width="11.6640625" style="3" bestFit="1" customWidth="1"/>
    <col min="7" max="7" width="10" style="3" bestFit="1" customWidth="1"/>
    <col min="8" max="8" width="10.109375" bestFit="1" customWidth="1"/>
    <col min="9" max="9" width="14.6640625" customWidth="1"/>
    <col min="10" max="10" width="14.33203125" customWidth="1"/>
    <col min="11" max="11" width="11.33203125" bestFit="1" customWidth="1"/>
    <col min="12" max="12" width="9.6640625" bestFit="1" customWidth="1"/>
    <col min="13" max="13" width="14.33203125" customWidth="1"/>
  </cols>
  <sheetData>
    <row r="2" spans="2:13">
      <c r="B2" s="2382" t="s">
        <v>2722</v>
      </c>
      <c r="C2" s="2385" t="s">
        <v>2645</v>
      </c>
      <c r="D2" s="2385"/>
      <c r="E2" s="2385"/>
      <c r="F2" s="2385"/>
      <c r="G2" s="2385"/>
      <c r="H2" s="2283" t="s">
        <v>2646</v>
      </c>
      <c r="I2" s="2283"/>
      <c r="J2" s="2283"/>
      <c r="K2" s="2283"/>
      <c r="L2" s="2283"/>
      <c r="M2" s="2386" t="s">
        <v>2721</v>
      </c>
    </row>
    <row r="3" spans="2:13" s="162" customFormat="1" ht="43.2">
      <c r="B3" s="2383"/>
      <c r="C3" s="908" t="s">
        <v>2642</v>
      </c>
      <c r="D3" s="908" t="s">
        <v>2643</v>
      </c>
      <c r="E3" s="908" t="s">
        <v>961</v>
      </c>
      <c r="F3" s="908" t="s">
        <v>2644</v>
      </c>
      <c r="G3" s="2387" t="s">
        <v>911</v>
      </c>
      <c r="H3" s="908" t="s">
        <v>2642</v>
      </c>
      <c r="I3" s="908" t="s">
        <v>2643</v>
      </c>
      <c r="J3" s="908" t="s">
        <v>961</v>
      </c>
      <c r="K3" s="908" t="s">
        <v>2644</v>
      </c>
      <c r="L3" s="2387" t="s">
        <v>911</v>
      </c>
      <c r="M3" s="2386"/>
    </row>
    <row r="4" spans="2:13" s="162" customFormat="1" ht="43.2">
      <c r="B4" s="2384"/>
      <c r="C4" s="908" t="s">
        <v>2657</v>
      </c>
      <c r="D4" s="908" t="s">
        <v>2658</v>
      </c>
      <c r="E4" s="908" t="s">
        <v>2658</v>
      </c>
      <c r="F4" s="908" t="s">
        <v>2658</v>
      </c>
      <c r="G4" s="2388"/>
      <c r="H4" s="908" t="s">
        <v>2657</v>
      </c>
      <c r="I4" s="908" t="s">
        <v>2658</v>
      </c>
      <c r="J4" s="908" t="s">
        <v>2658</v>
      </c>
      <c r="K4" s="908" t="s">
        <v>2658</v>
      </c>
      <c r="L4" s="2388"/>
      <c r="M4" s="2386"/>
    </row>
    <row r="5" spans="2:13">
      <c r="B5" s="660">
        <v>44652</v>
      </c>
      <c r="C5" s="506">
        <v>160000</v>
      </c>
      <c r="D5" s="506">
        <v>80000</v>
      </c>
      <c r="E5" s="506">
        <v>80000</v>
      </c>
      <c r="F5" s="506">
        <v>80000</v>
      </c>
      <c r="G5" s="506">
        <f>+SUM(C5:F5)</f>
        <v>400000</v>
      </c>
      <c r="H5" s="632">
        <v>160000</v>
      </c>
      <c r="I5" s="506">
        <v>80000</v>
      </c>
      <c r="J5" s="506">
        <v>80000</v>
      </c>
      <c r="K5" s="506">
        <v>80000</v>
      </c>
      <c r="L5" s="632">
        <f>SUM(H5:K5)</f>
        <v>400000</v>
      </c>
      <c r="M5" s="632">
        <f>+G5-L5</f>
        <v>0</v>
      </c>
    </row>
    <row r="6" spans="2:13">
      <c r="B6" s="660">
        <v>44682</v>
      </c>
      <c r="C6" s="506">
        <v>160000</v>
      </c>
      <c r="D6" s="506">
        <v>80000</v>
      </c>
      <c r="E6" s="506">
        <v>80000</v>
      </c>
      <c r="F6" s="506">
        <v>80000</v>
      </c>
      <c r="G6" s="506">
        <f t="shared" ref="G6:G16" si="0">+SUM(C6:F6)</f>
        <v>400000</v>
      </c>
      <c r="H6" s="632">
        <f>+C6-50000</f>
        <v>110000</v>
      </c>
      <c r="I6" s="632">
        <f t="shared" ref="I6:K6" si="1">+D6-50000</f>
        <v>30000</v>
      </c>
      <c r="J6" s="632">
        <f t="shared" si="1"/>
        <v>30000</v>
      </c>
      <c r="K6" s="632">
        <f t="shared" si="1"/>
        <v>30000</v>
      </c>
      <c r="L6" s="632">
        <f t="shared" ref="L6:L16" si="2">SUM(H6:K6)</f>
        <v>200000</v>
      </c>
      <c r="M6" s="632">
        <f t="shared" ref="M6:M16" si="3">+G6-L6</f>
        <v>200000</v>
      </c>
    </row>
    <row r="7" spans="2:13">
      <c r="B7" s="660">
        <v>44713</v>
      </c>
      <c r="C7" s="506">
        <v>160000</v>
      </c>
      <c r="D7" s="506">
        <v>80000</v>
      </c>
      <c r="E7" s="506">
        <v>80000</v>
      </c>
      <c r="F7" s="506">
        <v>80000</v>
      </c>
      <c r="G7" s="506">
        <f t="shared" si="0"/>
        <v>400000</v>
      </c>
      <c r="H7" s="632">
        <f t="shared" ref="H7:H16" si="4">+C7-50000</f>
        <v>110000</v>
      </c>
      <c r="I7" s="632">
        <f t="shared" ref="I7:I16" si="5">+D7-50000</f>
        <v>30000</v>
      </c>
      <c r="J7" s="632">
        <f t="shared" ref="J7:J16" si="6">+E7-50000</f>
        <v>30000</v>
      </c>
      <c r="K7" s="632">
        <f t="shared" ref="K7:K16" si="7">+F7-50000</f>
        <v>30000</v>
      </c>
      <c r="L7" s="632">
        <f t="shared" si="2"/>
        <v>200000</v>
      </c>
      <c r="M7" s="632">
        <f t="shared" si="3"/>
        <v>200000</v>
      </c>
    </row>
    <row r="8" spans="2:13">
      <c r="B8" s="660">
        <v>44743</v>
      </c>
      <c r="C8" s="506">
        <v>160000</v>
      </c>
      <c r="D8" s="506">
        <v>80000</v>
      </c>
      <c r="E8" s="506">
        <v>80000</v>
      </c>
      <c r="F8" s="506">
        <v>80000</v>
      </c>
      <c r="G8" s="506">
        <f>+SUM(C8:F8)</f>
        <v>400000</v>
      </c>
      <c r="H8" s="632">
        <f t="shared" si="4"/>
        <v>110000</v>
      </c>
      <c r="I8" s="632">
        <f t="shared" si="5"/>
        <v>30000</v>
      </c>
      <c r="J8" s="632">
        <f t="shared" si="6"/>
        <v>30000</v>
      </c>
      <c r="K8" s="632">
        <f t="shared" si="7"/>
        <v>30000</v>
      </c>
      <c r="L8" s="632">
        <f t="shared" si="2"/>
        <v>200000</v>
      </c>
      <c r="M8" s="632">
        <f t="shared" si="3"/>
        <v>200000</v>
      </c>
    </row>
    <row r="9" spans="2:13">
      <c r="B9" s="660">
        <v>44774</v>
      </c>
      <c r="C9" s="506">
        <v>160000</v>
      </c>
      <c r="D9" s="506">
        <v>80000</v>
      </c>
      <c r="E9" s="506">
        <v>80000</v>
      </c>
      <c r="F9" s="506">
        <v>80000</v>
      </c>
      <c r="G9" s="506">
        <f>+SUM(C9:F9)</f>
        <v>400000</v>
      </c>
      <c r="H9" s="632">
        <f t="shared" si="4"/>
        <v>110000</v>
      </c>
      <c r="I9" s="632">
        <f t="shared" si="5"/>
        <v>30000</v>
      </c>
      <c r="J9" s="632">
        <f t="shared" si="6"/>
        <v>30000</v>
      </c>
      <c r="K9" s="632">
        <f t="shared" si="7"/>
        <v>30000</v>
      </c>
      <c r="L9" s="632">
        <f t="shared" si="2"/>
        <v>200000</v>
      </c>
      <c r="M9" s="632">
        <f t="shared" si="3"/>
        <v>200000</v>
      </c>
    </row>
    <row r="10" spans="2:13">
      <c r="B10" s="660">
        <v>44805</v>
      </c>
      <c r="C10" s="506">
        <v>160000</v>
      </c>
      <c r="D10" s="506">
        <v>80000</v>
      </c>
      <c r="E10" s="506">
        <v>80000</v>
      </c>
      <c r="F10" s="506">
        <v>80000</v>
      </c>
      <c r="G10" s="506">
        <f t="shared" si="0"/>
        <v>400000</v>
      </c>
      <c r="H10" s="632">
        <f t="shared" si="4"/>
        <v>110000</v>
      </c>
      <c r="I10" s="632">
        <f t="shared" si="5"/>
        <v>30000</v>
      </c>
      <c r="J10" s="632">
        <f t="shared" si="6"/>
        <v>30000</v>
      </c>
      <c r="K10" s="632">
        <f t="shared" si="7"/>
        <v>30000</v>
      </c>
      <c r="L10" s="632">
        <f t="shared" si="2"/>
        <v>200000</v>
      </c>
      <c r="M10" s="632">
        <f t="shared" si="3"/>
        <v>200000</v>
      </c>
    </row>
    <row r="11" spans="2:13">
      <c r="B11" s="660">
        <v>44835</v>
      </c>
      <c r="C11" s="506">
        <v>160000</v>
      </c>
      <c r="D11" s="506">
        <v>80000</v>
      </c>
      <c r="E11" s="506">
        <v>80000</v>
      </c>
      <c r="F11" s="506">
        <v>80000</v>
      </c>
      <c r="G11" s="506">
        <f t="shared" si="0"/>
        <v>400000</v>
      </c>
      <c r="H11" s="632">
        <f t="shared" si="4"/>
        <v>110000</v>
      </c>
      <c r="I11" s="632">
        <f t="shared" si="5"/>
        <v>30000</v>
      </c>
      <c r="J11" s="632">
        <f t="shared" si="6"/>
        <v>30000</v>
      </c>
      <c r="K11" s="632">
        <f t="shared" si="7"/>
        <v>30000</v>
      </c>
      <c r="L11" s="632">
        <f t="shared" si="2"/>
        <v>200000</v>
      </c>
      <c r="M11" s="632">
        <f t="shared" si="3"/>
        <v>200000</v>
      </c>
    </row>
    <row r="12" spans="2:13">
      <c r="B12" s="660">
        <v>44866</v>
      </c>
      <c r="C12" s="506">
        <v>160000</v>
      </c>
      <c r="D12" s="506">
        <v>80000</v>
      </c>
      <c r="E12" s="506">
        <v>80000</v>
      </c>
      <c r="F12" s="506">
        <v>80000</v>
      </c>
      <c r="G12" s="506">
        <f t="shared" si="0"/>
        <v>400000</v>
      </c>
      <c r="H12" s="632">
        <f t="shared" si="4"/>
        <v>110000</v>
      </c>
      <c r="I12" s="632">
        <f t="shared" si="5"/>
        <v>30000</v>
      </c>
      <c r="J12" s="632">
        <f t="shared" si="6"/>
        <v>30000</v>
      </c>
      <c r="K12" s="632">
        <f t="shared" si="7"/>
        <v>30000</v>
      </c>
      <c r="L12" s="632">
        <f t="shared" si="2"/>
        <v>200000</v>
      </c>
      <c r="M12" s="632">
        <f t="shared" si="3"/>
        <v>200000</v>
      </c>
    </row>
    <row r="13" spans="2:13">
      <c r="B13" s="660">
        <v>44896</v>
      </c>
      <c r="C13" s="506">
        <v>160000</v>
      </c>
      <c r="D13" s="506">
        <v>80000</v>
      </c>
      <c r="E13" s="506">
        <v>80000</v>
      </c>
      <c r="F13" s="506">
        <v>80000</v>
      </c>
      <c r="G13" s="506">
        <f t="shared" si="0"/>
        <v>400000</v>
      </c>
      <c r="H13" s="632">
        <f t="shared" si="4"/>
        <v>110000</v>
      </c>
      <c r="I13" s="632">
        <f t="shared" si="5"/>
        <v>30000</v>
      </c>
      <c r="J13" s="632">
        <f t="shared" si="6"/>
        <v>30000</v>
      </c>
      <c r="K13" s="632">
        <f t="shared" si="7"/>
        <v>30000</v>
      </c>
      <c r="L13" s="632">
        <f t="shared" si="2"/>
        <v>200000</v>
      </c>
      <c r="M13" s="632">
        <f t="shared" si="3"/>
        <v>200000</v>
      </c>
    </row>
    <row r="14" spans="2:13">
      <c r="B14" s="660">
        <v>44927</v>
      </c>
      <c r="C14" s="506">
        <v>160000</v>
      </c>
      <c r="D14" s="506">
        <v>80000</v>
      </c>
      <c r="E14" s="506">
        <v>80000</v>
      </c>
      <c r="F14" s="506">
        <v>80000</v>
      </c>
      <c r="G14" s="506">
        <f t="shared" si="0"/>
        <v>400000</v>
      </c>
      <c r="H14" s="632">
        <f t="shared" si="4"/>
        <v>110000</v>
      </c>
      <c r="I14" s="632">
        <f t="shared" si="5"/>
        <v>30000</v>
      </c>
      <c r="J14" s="632">
        <f t="shared" si="6"/>
        <v>30000</v>
      </c>
      <c r="K14" s="632">
        <f t="shared" si="7"/>
        <v>30000</v>
      </c>
      <c r="L14" s="632">
        <f t="shared" si="2"/>
        <v>200000</v>
      </c>
      <c r="M14" s="632">
        <f t="shared" si="3"/>
        <v>200000</v>
      </c>
    </row>
    <row r="15" spans="2:13">
      <c r="B15" s="660">
        <v>44958</v>
      </c>
      <c r="C15" s="506">
        <v>160000</v>
      </c>
      <c r="D15" s="506">
        <v>80000</v>
      </c>
      <c r="E15" s="506">
        <v>80000</v>
      </c>
      <c r="F15" s="506">
        <v>80000</v>
      </c>
      <c r="G15" s="506">
        <f t="shared" si="0"/>
        <v>400000</v>
      </c>
      <c r="H15" s="632">
        <f t="shared" si="4"/>
        <v>110000</v>
      </c>
      <c r="I15" s="632">
        <f t="shared" si="5"/>
        <v>30000</v>
      </c>
      <c r="J15" s="632">
        <f t="shared" si="6"/>
        <v>30000</v>
      </c>
      <c r="K15" s="632">
        <f t="shared" si="7"/>
        <v>30000</v>
      </c>
      <c r="L15" s="632">
        <f t="shared" si="2"/>
        <v>200000</v>
      </c>
      <c r="M15" s="632">
        <f t="shared" si="3"/>
        <v>200000</v>
      </c>
    </row>
    <row r="16" spans="2:13">
      <c r="B16" s="660">
        <v>44986</v>
      </c>
      <c r="C16" s="506">
        <v>160000</v>
      </c>
      <c r="D16" s="506">
        <v>80000</v>
      </c>
      <c r="E16" s="506">
        <v>80000</v>
      </c>
      <c r="F16" s="506">
        <v>80000</v>
      </c>
      <c r="G16" s="506">
        <f t="shared" si="0"/>
        <v>400000</v>
      </c>
      <c r="H16" s="632">
        <f t="shared" si="4"/>
        <v>110000</v>
      </c>
      <c r="I16" s="632">
        <f t="shared" si="5"/>
        <v>30000</v>
      </c>
      <c r="J16" s="632">
        <f t="shared" si="6"/>
        <v>30000</v>
      </c>
      <c r="K16" s="632">
        <f t="shared" si="7"/>
        <v>30000</v>
      </c>
      <c r="L16" s="632">
        <f t="shared" si="2"/>
        <v>200000</v>
      </c>
      <c r="M16" s="632">
        <f t="shared" si="3"/>
        <v>200000</v>
      </c>
    </row>
    <row r="17" spans="2:13" s="151" customFormat="1">
      <c r="B17" s="147" t="s">
        <v>911</v>
      </c>
      <c r="C17" s="150">
        <f>+SUM(C5:C16)</f>
        <v>1920000</v>
      </c>
      <c r="D17" s="150">
        <f>+SUM(D5:D16)</f>
        <v>960000</v>
      </c>
      <c r="E17" s="150">
        <f>+SUM(E5:E16)</f>
        <v>960000</v>
      </c>
      <c r="F17" s="150">
        <f>+SUM(F5:F16)</f>
        <v>960000</v>
      </c>
      <c r="G17" s="150">
        <f>+SUM(G5:G16)</f>
        <v>4800000</v>
      </c>
      <c r="H17" s="943">
        <f>SUM(H5:H16)</f>
        <v>1370000</v>
      </c>
      <c r="I17" s="943">
        <f t="shared" ref="I17:K17" si="8">SUM(I5:I16)</f>
        <v>410000</v>
      </c>
      <c r="J17" s="943">
        <f t="shared" si="8"/>
        <v>410000</v>
      </c>
      <c r="K17" s="943">
        <f t="shared" si="8"/>
        <v>410000</v>
      </c>
      <c r="L17" s="943">
        <f>SUM(L5:L16)</f>
        <v>2600000</v>
      </c>
      <c r="M17" s="943">
        <f>SUM(M5:M16)</f>
        <v>2200000</v>
      </c>
    </row>
  </sheetData>
  <mergeCells count="6">
    <mergeCell ref="B2:B4"/>
    <mergeCell ref="C2:G2"/>
    <mergeCell ref="H2:L2"/>
    <mergeCell ref="M2:M4"/>
    <mergeCell ref="G3:G4"/>
    <mergeCell ref="L3:L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C2:L39"/>
  <sheetViews>
    <sheetView zoomScale="80" zoomScaleNormal="80" workbookViewId="0">
      <selection activeCell="C6" sqref="C6:J6"/>
    </sheetView>
  </sheetViews>
  <sheetFormatPr defaultColWidth="8.88671875" defaultRowHeight="14.4"/>
  <cols>
    <col min="3" max="3" width="59.33203125" bestFit="1" customWidth="1"/>
    <col min="4" max="4" width="5.5546875" bestFit="1" customWidth="1"/>
    <col min="6" max="6" width="42.109375" bestFit="1" customWidth="1"/>
    <col min="9" max="9" width="27.44140625" bestFit="1" customWidth="1"/>
    <col min="10" max="10" width="22.44140625" bestFit="1" customWidth="1"/>
  </cols>
  <sheetData>
    <row r="2" spans="3:12" ht="15.6">
      <c r="C2" s="2389" t="s">
        <v>2198</v>
      </c>
      <c r="D2" s="2390"/>
      <c r="E2" s="2390"/>
      <c r="F2" s="2390"/>
      <c r="G2" s="2390"/>
      <c r="H2" s="2390"/>
      <c r="I2" s="2390"/>
      <c r="J2" s="2391"/>
    </row>
    <row r="3" spans="3:12" ht="15.6">
      <c r="C3" s="544"/>
      <c r="D3" s="545"/>
      <c r="E3" s="545"/>
      <c r="F3" s="546"/>
      <c r="G3" s="546"/>
      <c r="H3" s="546"/>
      <c r="I3" s="545"/>
      <c r="J3" s="547"/>
    </row>
    <row r="4" spans="3:12" ht="15.6">
      <c r="C4" s="2392" t="s">
        <v>2318</v>
      </c>
      <c r="D4" s="2393"/>
      <c r="E4" s="2393"/>
      <c r="F4" s="2393"/>
      <c r="G4" s="2393"/>
      <c r="H4" s="2393"/>
      <c r="I4" s="2393"/>
      <c r="J4" s="2394"/>
    </row>
    <row r="5" spans="3:12" ht="15.6">
      <c r="C5" s="544"/>
      <c r="D5" s="545"/>
      <c r="E5" s="545"/>
      <c r="F5" s="546"/>
      <c r="G5" s="546"/>
      <c r="H5" s="546"/>
      <c r="I5" s="545"/>
      <c r="J5" s="547"/>
    </row>
    <row r="6" spans="3:12" ht="15.6">
      <c r="C6" s="2395">
        <v>45016</v>
      </c>
      <c r="D6" s="2396"/>
      <c r="E6" s="2396"/>
      <c r="F6" s="2396"/>
      <c r="G6" s="2396"/>
      <c r="H6" s="2396"/>
      <c r="I6" s="2396"/>
      <c r="J6" s="2397"/>
    </row>
    <row r="7" spans="3:12" ht="15.6">
      <c r="C7" s="548"/>
      <c r="D7" s="549"/>
      <c r="E7" s="549"/>
      <c r="F7" s="550"/>
      <c r="G7" s="550"/>
      <c r="H7" s="550"/>
      <c r="I7" s="549"/>
      <c r="J7" s="551">
        <f>+L11</f>
        <v>0.25168000000000001</v>
      </c>
      <c r="L7" s="552">
        <v>0.22</v>
      </c>
    </row>
    <row r="8" spans="3:12" ht="15.6">
      <c r="C8" s="553" t="s">
        <v>532</v>
      </c>
      <c r="D8" s="554"/>
      <c r="E8" s="554"/>
      <c r="F8" s="555"/>
      <c r="G8" s="555"/>
      <c r="H8" s="555"/>
      <c r="I8" s="556" t="s">
        <v>2299</v>
      </c>
      <c r="J8" s="556" t="s">
        <v>2300</v>
      </c>
      <c r="L8" s="557">
        <f>+L7*0.1</f>
        <v>2.2000000000000002E-2</v>
      </c>
    </row>
    <row r="9" spans="3:12" ht="15.6">
      <c r="C9" s="558"/>
      <c r="D9" s="559"/>
      <c r="E9" s="559"/>
      <c r="F9" s="560"/>
      <c r="G9" s="561"/>
      <c r="H9" s="560"/>
      <c r="I9" s="562"/>
      <c r="J9" s="562"/>
      <c r="L9" s="563">
        <f>+L7+L8</f>
        <v>0.24199999999999999</v>
      </c>
    </row>
    <row r="10" spans="3:12" ht="15.6">
      <c r="C10" s="564">
        <v>44287</v>
      </c>
      <c r="D10" s="565"/>
      <c r="E10" s="565"/>
      <c r="F10" s="566"/>
      <c r="G10" s="567"/>
      <c r="H10" s="566"/>
      <c r="I10" s="567">
        <f>+BSPL!H35</f>
        <v>16151128.949873626</v>
      </c>
      <c r="J10" s="568"/>
      <c r="L10" s="563">
        <f>+L9*0.04</f>
        <v>9.6799999999999994E-3</v>
      </c>
    </row>
    <row r="11" spans="3:12" ht="15.6">
      <c r="C11" s="569"/>
      <c r="D11" s="570"/>
      <c r="E11" s="570"/>
      <c r="F11" s="571"/>
      <c r="G11" s="572"/>
      <c r="H11" s="571"/>
      <c r="I11" s="573"/>
      <c r="J11" s="573"/>
      <c r="L11" s="574">
        <f>+L9+L10</f>
        <v>0.25168000000000001</v>
      </c>
    </row>
    <row r="12" spans="3:12" ht="15.6">
      <c r="C12" s="575" t="s">
        <v>2301</v>
      </c>
      <c r="D12" s="570"/>
      <c r="E12" s="570"/>
      <c r="F12" s="571"/>
      <c r="G12" s="572"/>
      <c r="H12" s="571"/>
      <c r="I12" s="573"/>
      <c r="J12" s="573"/>
    </row>
    <row r="13" spans="3:12" ht="15.6">
      <c r="C13" s="569" t="s">
        <v>2302</v>
      </c>
      <c r="D13" s="576"/>
      <c r="E13" s="576"/>
      <c r="F13" s="577"/>
      <c r="G13" s="578"/>
      <c r="H13" s="577"/>
      <c r="I13" s="579">
        <f>+Depreciation!K70-Depreciation!K62-[80]Building!$EF$464+[80]Building!$N$464</f>
        <v>146181387.21092948</v>
      </c>
      <c r="J13" s="573"/>
    </row>
    <row r="14" spans="3:12" ht="15.6">
      <c r="C14" s="569" t="s">
        <v>2303</v>
      </c>
      <c r="D14" s="576"/>
      <c r="E14" s="576"/>
      <c r="F14" s="577"/>
      <c r="G14" s="578"/>
      <c r="H14" s="577"/>
      <c r="I14" s="579">
        <f>+'IT Dep'!P61</f>
        <v>84427341.534047067</v>
      </c>
      <c r="J14" s="573"/>
    </row>
    <row r="15" spans="3:12" ht="16.2" thickBot="1">
      <c r="C15" s="575"/>
      <c r="D15" s="576"/>
      <c r="E15" s="576"/>
      <c r="F15" s="580" t="s">
        <v>2304</v>
      </c>
      <c r="G15" s="581"/>
      <c r="H15" s="580"/>
      <c r="I15" s="582">
        <f>+I13-I14</f>
        <v>61754045.676882416</v>
      </c>
      <c r="J15" s="583">
        <f>I15*$J$7</f>
        <v>15542258.215957768</v>
      </c>
    </row>
    <row r="16" spans="3:12" ht="16.2" thickTop="1">
      <c r="C16" s="575"/>
      <c r="D16" s="576"/>
      <c r="E16" s="576"/>
      <c r="F16" s="577"/>
      <c r="G16" s="578"/>
      <c r="H16" s="577"/>
      <c r="I16" s="578"/>
      <c r="J16" s="573"/>
    </row>
    <row r="17" spans="3:12" ht="15.6">
      <c r="C17" s="569"/>
      <c r="D17" s="576"/>
      <c r="E17" s="576"/>
      <c r="F17" s="577"/>
      <c r="G17" s="578"/>
      <c r="H17" s="577"/>
      <c r="I17" s="573"/>
      <c r="J17" s="573"/>
    </row>
    <row r="18" spans="3:12" ht="15.6">
      <c r="C18" s="569" t="s">
        <v>2305</v>
      </c>
      <c r="D18" s="576"/>
      <c r="E18" s="576"/>
      <c r="F18" s="577"/>
      <c r="G18" s="578"/>
      <c r="H18" s="577"/>
      <c r="I18" s="584">
        <v>0</v>
      </c>
      <c r="J18" s="573"/>
    </row>
    <row r="19" spans="3:12" ht="15.6">
      <c r="C19" s="569" t="s">
        <v>2306</v>
      </c>
      <c r="D19" s="576"/>
      <c r="E19" s="576"/>
      <c r="F19" s="577"/>
      <c r="G19" s="578"/>
      <c r="H19" s="577"/>
      <c r="I19" s="584">
        <f>+COI!L19</f>
        <v>871518</v>
      </c>
      <c r="J19" s="573"/>
    </row>
    <row r="20" spans="3:12" ht="15.6">
      <c r="C20" s="569" t="s">
        <v>2307</v>
      </c>
      <c r="D20" s="576"/>
      <c r="E20" s="576"/>
      <c r="F20" s="577"/>
      <c r="G20" s="578"/>
      <c r="H20" s="577"/>
      <c r="I20" s="584">
        <f>+GETPIVOTDATA("Sum of Cr. Final 22-23",Pivot!$A$3,"PARTICULARS","Leave Encashment Payable","Note",20,"BS Main Head","Short Term Provisions","BS Sub Head","Provision for Employee Benefit")</f>
        <v>233275</v>
      </c>
      <c r="J20" s="573"/>
    </row>
    <row r="21" spans="3:12" ht="16.2" thickBot="1">
      <c r="C21" s="569"/>
      <c r="D21" s="576"/>
      <c r="E21" s="576"/>
      <c r="F21" s="576"/>
      <c r="G21" s="573"/>
      <c r="H21" s="576"/>
      <c r="I21" s="585">
        <f>SUM(I17:I20)</f>
        <v>1104793</v>
      </c>
      <c r="J21" s="583">
        <f>I21*$J$7</f>
        <v>278054.30223999999</v>
      </c>
    </row>
    <row r="22" spans="3:12" ht="16.2" thickTop="1">
      <c r="C22" s="569"/>
      <c r="D22" s="576"/>
      <c r="E22" s="576"/>
      <c r="F22" s="577"/>
      <c r="G22" s="578"/>
      <c r="H22" s="577"/>
      <c r="I22" s="586"/>
      <c r="J22" s="572"/>
    </row>
    <row r="23" spans="3:12" ht="15.6">
      <c r="C23" s="569" t="s">
        <v>2782</v>
      </c>
      <c r="D23" s="576"/>
      <c r="E23" s="576"/>
      <c r="F23" s="577"/>
      <c r="G23" s="578"/>
      <c r="H23" s="577"/>
      <c r="I23" s="1150">
        <f>-COI!M38-I24</f>
        <v>31614851.946512461</v>
      </c>
      <c r="J23" s="573"/>
    </row>
    <row r="24" spans="3:12" ht="16.2" thickBot="1">
      <c r="C24" s="569" t="s">
        <v>144</v>
      </c>
      <c r="D24" s="576"/>
      <c r="E24" s="576"/>
      <c r="F24" s="577"/>
      <c r="G24" s="578"/>
      <c r="H24" s="577"/>
      <c r="I24" s="578">
        <f>+COI!J30</f>
        <v>12720999.114633983</v>
      </c>
      <c r="J24" s="583">
        <f>(SUM(I23:I24))*$J$7</f>
        <v>11158446.995069338</v>
      </c>
      <c r="L24" s="630"/>
    </row>
    <row r="25" spans="3:12" ht="16.8" thickTop="1" thickBot="1">
      <c r="C25" s="575"/>
      <c r="D25" s="570"/>
      <c r="E25" s="570"/>
      <c r="F25" s="580" t="s">
        <v>2309</v>
      </c>
      <c r="G25" s="581"/>
      <c r="H25" s="580"/>
      <c r="I25" s="582">
        <f>I21+I24+I23</f>
        <v>45440644.061146446</v>
      </c>
      <c r="J25" s="582">
        <f>SUM(J21:J24)</f>
        <v>11436501.297309337</v>
      </c>
    </row>
    <row r="26" spans="3:12" ht="16.2" thickTop="1">
      <c r="C26" s="569"/>
      <c r="D26" s="576"/>
      <c r="E26" s="576"/>
      <c r="F26" s="587"/>
      <c r="G26" s="588"/>
      <c r="H26" s="587"/>
      <c r="I26" s="578"/>
      <c r="J26" s="589"/>
    </row>
    <row r="27" spans="3:12" ht="15.6">
      <c r="C27" s="569" t="s">
        <v>2310</v>
      </c>
      <c r="D27" s="576"/>
      <c r="E27" s="576"/>
      <c r="F27" s="587"/>
      <c r="G27" s="588"/>
      <c r="H27" s="587"/>
      <c r="I27" s="578"/>
      <c r="J27" s="578">
        <f>+J25</f>
        <v>11436501.297309337</v>
      </c>
    </row>
    <row r="28" spans="3:12" ht="15.6">
      <c r="C28" s="569" t="s">
        <v>2311</v>
      </c>
      <c r="D28" s="576"/>
      <c r="E28" s="576"/>
      <c r="F28" s="587"/>
      <c r="G28" s="588"/>
      <c r="H28" s="587"/>
      <c r="I28" s="578"/>
      <c r="J28" s="578">
        <f>+J15</f>
        <v>15542258.215957768</v>
      </c>
    </row>
    <row r="29" spans="3:12" ht="16.2" thickBot="1">
      <c r="C29" s="575"/>
      <c r="D29" s="570"/>
      <c r="E29" s="570"/>
      <c r="F29" s="580" t="str">
        <f>IF(J27&gt;J28,"Net Deferred Tax Asset","Net Deferred Tax Liability")</f>
        <v>Net Deferred Tax Liability</v>
      </c>
      <c r="G29" s="581"/>
      <c r="H29" s="580"/>
      <c r="I29" s="582">
        <f>IF(I27&gt;I28,(I27-I28),(I28-I27))</f>
        <v>0</v>
      </c>
      <c r="J29" s="582">
        <f>IF(J27&gt;J28,(J27-J28),(J28-J27))</f>
        <v>4105756.9186484311</v>
      </c>
    </row>
    <row r="30" spans="3:12" ht="16.2" thickTop="1">
      <c r="C30" s="569"/>
      <c r="D30" s="570"/>
      <c r="E30" s="576"/>
      <c r="F30" s="577"/>
      <c r="G30" s="578"/>
      <c r="H30" s="577"/>
      <c r="I30" s="572"/>
      <c r="J30" s="573"/>
    </row>
    <row r="31" spans="3:12" ht="15.6">
      <c r="C31" s="569" t="str">
        <f>IF(J28&lt;J27,"Closing Balance of Deferred Tax Assets","Closing Balance of Deferred Tax Liability")</f>
        <v>Closing Balance of Deferred Tax Liability</v>
      </c>
      <c r="D31" s="570"/>
      <c r="E31" s="576"/>
      <c r="F31" s="577"/>
      <c r="G31" s="578"/>
      <c r="H31" s="577"/>
      <c r="I31" s="578">
        <f>IF(J28&lt;J27,(J27-J28),(J28-J27))</f>
        <v>4105756.9186484311</v>
      </c>
      <c r="J31" s="590"/>
    </row>
    <row r="32" spans="3:12" ht="15.6">
      <c r="C32" s="569" t="s">
        <v>2312</v>
      </c>
      <c r="D32" s="570"/>
      <c r="E32" s="576"/>
      <c r="F32" s="577"/>
      <c r="G32" s="578"/>
      <c r="H32" s="577"/>
      <c r="I32" s="578">
        <f>+I10</f>
        <v>16151128.949873626</v>
      </c>
      <c r="J32" s="573"/>
    </row>
    <row r="33" spans="3:10" ht="15.6">
      <c r="C33" s="569"/>
      <c r="D33" s="570"/>
      <c r="E33" s="576"/>
      <c r="F33" s="577"/>
      <c r="G33" s="578"/>
      <c r="H33" s="577"/>
      <c r="I33" s="578"/>
      <c r="J33" s="573"/>
    </row>
    <row r="34" spans="3:10" ht="16.2" thickBot="1">
      <c r="C34" s="591" t="s">
        <v>2783</v>
      </c>
      <c r="D34" s="570"/>
      <c r="E34" s="576"/>
      <c r="F34" s="577"/>
      <c r="G34" s="578"/>
      <c r="H34" s="577"/>
      <c r="I34" s="582">
        <f>I31-I32</f>
        <v>-12045372.031225195</v>
      </c>
      <c r="J34" s="573"/>
    </row>
    <row r="35" spans="3:10" ht="16.2" thickTop="1">
      <c r="C35" s="592"/>
      <c r="D35" s="593"/>
      <c r="E35" s="594"/>
      <c r="F35" s="595"/>
      <c r="G35" s="596"/>
      <c r="H35" s="595"/>
      <c r="I35" s="597"/>
      <c r="J35" s="598"/>
    </row>
    <row r="36" spans="3:10" ht="15.6">
      <c r="C36" s="575"/>
      <c r="D36" s="570"/>
      <c r="E36" s="576"/>
      <c r="F36" s="577"/>
      <c r="G36" s="578"/>
      <c r="H36" s="577"/>
      <c r="I36" s="572"/>
      <c r="J36" s="573"/>
    </row>
    <row r="37" spans="3:10" ht="15.6">
      <c r="C37" s="575" t="s">
        <v>2314</v>
      </c>
      <c r="D37" s="576"/>
      <c r="E37" s="576"/>
      <c r="F37" s="577"/>
      <c r="G37" s="578"/>
      <c r="H37" s="577"/>
      <c r="I37" s="573"/>
      <c r="J37" s="573"/>
    </row>
    <row r="38" spans="3:10" ht="15.6">
      <c r="C38" s="599" t="s">
        <v>126</v>
      </c>
      <c r="D38" s="600" t="s">
        <v>2316</v>
      </c>
      <c r="E38" s="565"/>
      <c r="F38" s="601"/>
      <c r="G38" s="602"/>
      <c r="H38" s="601"/>
      <c r="I38" s="603">
        <f>ABS(J39)</f>
        <v>12045372.031225195</v>
      </c>
      <c r="J38" s="604"/>
    </row>
    <row r="39" spans="3:10" ht="15.6">
      <c r="C39" s="605" t="s">
        <v>2641</v>
      </c>
      <c r="D39" s="606"/>
      <c r="E39" s="606"/>
      <c r="F39" s="607"/>
      <c r="G39" s="608"/>
      <c r="H39" s="607"/>
      <c r="I39" s="609"/>
      <c r="J39" s="610">
        <f>ABS(I34)</f>
        <v>12045372.031225195</v>
      </c>
    </row>
  </sheetData>
  <mergeCells count="3">
    <mergeCell ref="C2:J2"/>
    <mergeCell ref="C4:J4"/>
    <mergeCell ref="C6:J6"/>
  </mergeCells>
  <pageMargins left="0.70866141732283472" right="0.70866141732283472" top="0.74803149606299213" bottom="0.74803149606299213" header="0.31496062992125984" footer="0.31496062992125984"/>
  <pageSetup scale="4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91"/>
  <sheetViews>
    <sheetView topLeftCell="A61" workbookViewId="0">
      <selection activeCell="H46" sqref="H46"/>
    </sheetView>
  </sheetViews>
  <sheetFormatPr defaultColWidth="8.88671875" defaultRowHeight="14.4"/>
  <cols>
    <col min="1" max="1" width="24.5546875" customWidth="1"/>
    <col min="2" max="2" width="15" style="504" bestFit="1" customWidth="1"/>
    <col min="3" max="3" width="13.88671875" style="504" bestFit="1" customWidth="1"/>
    <col min="4" max="4" width="12.5546875" style="504" bestFit="1" customWidth="1"/>
    <col min="5" max="5" width="21.44140625" style="504" bestFit="1" customWidth="1"/>
    <col min="6" max="6" width="13.33203125" style="449" customWidth="1"/>
    <col min="7" max="7" width="13.88671875" bestFit="1" customWidth="1"/>
    <col min="8" max="8" width="14.33203125" customWidth="1"/>
    <col min="9" max="9" width="15" customWidth="1"/>
    <col min="10" max="10" width="27.5546875" style="504" customWidth="1"/>
    <col min="11" max="11" width="20.88671875" style="504" bestFit="1" customWidth="1"/>
    <col min="12" max="12" width="19.6640625" style="504" bestFit="1" customWidth="1"/>
    <col min="13" max="13" width="14.33203125" style="504" bestFit="1" customWidth="1"/>
    <col min="14" max="14" width="14.88671875" style="504" bestFit="1" customWidth="1"/>
    <col min="15" max="15" width="12.33203125" bestFit="1" customWidth="1"/>
  </cols>
  <sheetData>
    <row r="1" spans="1:15" ht="19.8">
      <c r="A1" s="638" t="s">
        <v>785</v>
      </c>
      <c r="B1" s="639"/>
      <c r="C1" s="639"/>
      <c r="D1" s="639"/>
      <c r="E1" s="639"/>
      <c r="F1" s="640"/>
      <c r="G1" s="641"/>
      <c r="H1" s="641"/>
      <c r="I1" s="641"/>
      <c r="J1" s="639"/>
    </row>
    <row r="2" spans="1:15">
      <c r="A2" s="642" t="s">
        <v>2343</v>
      </c>
      <c r="B2" s="639"/>
      <c r="C2" s="639"/>
      <c r="D2" s="639"/>
      <c r="E2" s="639"/>
      <c r="F2" s="640"/>
      <c r="G2" s="641"/>
      <c r="H2" s="641"/>
      <c r="I2" s="641"/>
      <c r="J2" s="639"/>
    </row>
    <row r="3" spans="1:15">
      <c r="A3" s="641"/>
      <c r="B3" s="639"/>
      <c r="C3" s="639"/>
      <c r="D3" s="639"/>
      <c r="E3" s="639"/>
      <c r="F3" s="640"/>
      <c r="G3" s="641"/>
      <c r="H3" s="641"/>
      <c r="I3" s="641"/>
      <c r="J3" s="639"/>
    </row>
    <row r="4" spans="1:15" s="449" customFormat="1" ht="43.2">
      <c r="A4" s="643" t="s">
        <v>532</v>
      </c>
      <c r="B4" s="644" t="s">
        <v>2344</v>
      </c>
      <c r="C4" s="644" t="s">
        <v>2345</v>
      </c>
      <c r="D4" s="644" t="s">
        <v>2346</v>
      </c>
      <c r="E4" s="644" t="s">
        <v>2347</v>
      </c>
      <c r="F4" s="643" t="s">
        <v>2348</v>
      </c>
      <c r="G4" s="643" t="s">
        <v>2349</v>
      </c>
      <c r="H4" s="643" t="s">
        <v>2350</v>
      </c>
      <c r="I4" s="643" t="s">
        <v>2351</v>
      </c>
      <c r="J4" s="644" t="s">
        <v>2322</v>
      </c>
      <c r="K4" s="645"/>
      <c r="L4" s="645"/>
      <c r="M4" s="645"/>
      <c r="N4" s="645"/>
      <c r="O4" s="645"/>
    </row>
    <row r="5" spans="1:15" s="641" customFormat="1" ht="57.6">
      <c r="A5" s="646" t="s">
        <v>471</v>
      </c>
      <c r="B5" s="647">
        <v>7300000</v>
      </c>
      <c r="C5" s="647">
        <v>7221052.2300000004</v>
      </c>
      <c r="D5" s="647">
        <f>+D38</f>
        <v>624703</v>
      </c>
      <c r="E5" s="647">
        <f>+D37</f>
        <v>56749</v>
      </c>
      <c r="F5" s="648">
        <f>+B5-C5</f>
        <v>78947.769999999553</v>
      </c>
      <c r="G5" s="648"/>
      <c r="H5" s="647">
        <v>0</v>
      </c>
      <c r="I5" s="647">
        <f>+C5-H5</f>
        <v>7221052.2300000004</v>
      </c>
      <c r="J5" s="646" t="s">
        <v>2374</v>
      </c>
    </row>
    <row r="6" spans="1:15" ht="28.8">
      <c r="A6" s="646" t="s">
        <v>500</v>
      </c>
      <c r="B6" s="647">
        <f>+B42</f>
        <v>14600000</v>
      </c>
      <c r="C6" s="647">
        <v>9722635</v>
      </c>
      <c r="D6" s="647">
        <f>+D68</f>
        <v>653794</v>
      </c>
      <c r="E6" s="647">
        <f>+D67</f>
        <v>40522</v>
      </c>
      <c r="F6" s="648">
        <f>+B6-C6</f>
        <v>4877365</v>
      </c>
      <c r="G6" s="648"/>
      <c r="H6" s="647">
        <f>+C82</f>
        <v>4700016</v>
      </c>
      <c r="I6" s="647">
        <f>+C6-H6</f>
        <v>5022619</v>
      </c>
      <c r="J6" s="646" t="s">
        <v>2352</v>
      </c>
      <c r="O6" s="504"/>
    </row>
    <row r="7" spans="1:15">
      <c r="A7" s="649" t="s">
        <v>911</v>
      </c>
      <c r="B7" s="647"/>
      <c r="C7" s="650">
        <f>+SUM(C5:C6)</f>
        <v>16943687.23</v>
      </c>
      <c r="D7" s="650">
        <f t="shared" ref="D7:I7" si="0">+SUM(D5:D6)</f>
        <v>1278497</v>
      </c>
      <c r="E7" s="650">
        <f t="shared" si="0"/>
        <v>97271</v>
      </c>
      <c r="F7" s="650">
        <f t="shared" si="0"/>
        <v>4956312.7699999996</v>
      </c>
      <c r="G7" s="650">
        <f t="shared" si="0"/>
        <v>0</v>
      </c>
      <c r="H7" s="650">
        <f t="shared" si="0"/>
        <v>4700016</v>
      </c>
      <c r="I7" s="650">
        <f t="shared" si="0"/>
        <v>12243671.23</v>
      </c>
      <c r="J7" s="646"/>
      <c r="O7" s="504"/>
    </row>
    <row r="8" spans="1:15">
      <c r="A8" s="646"/>
      <c r="B8" s="647"/>
      <c r="C8" s="647"/>
      <c r="D8" s="647"/>
      <c r="E8" s="647"/>
      <c r="F8" s="648"/>
      <c r="G8" s="648"/>
      <c r="H8" s="647"/>
      <c r="I8" s="647"/>
      <c r="J8" s="646"/>
      <c r="O8" s="504"/>
    </row>
    <row r="9" spans="1:15" ht="28.8">
      <c r="A9" s="646" t="s">
        <v>472</v>
      </c>
      <c r="B9" s="647">
        <v>77500000</v>
      </c>
      <c r="C9" s="647">
        <v>21743710</v>
      </c>
      <c r="D9" s="647">
        <f>+K20</f>
        <v>390312</v>
      </c>
      <c r="E9" s="647">
        <v>147945</v>
      </c>
      <c r="F9" s="651">
        <v>233269</v>
      </c>
      <c r="G9" s="648">
        <f>+L20</f>
        <v>148846</v>
      </c>
      <c r="H9" s="647"/>
      <c r="I9" s="652"/>
      <c r="J9" s="647"/>
    </row>
    <row r="10" spans="1:15" ht="28.8">
      <c r="A10" s="640" t="s">
        <v>2373</v>
      </c>
      <c r="B10" s="653">
        <v>14000000</v>
      </c>
      <c r="C10" s="653">
        <v>5000000</v>
      </c>
      <c r="D10" s="653"/>
      <c r="E10" s="653"/>
      <c r="F10" s="654"/>
      <c r="G10" s="655"/>
      <c r="H10" s="653"/>
      <c r="I10" s="641"/>
      <c r="J10" s="653"/>
    </row>
    <row r="11" spans="1:15">
      <c r="A11" s="151"/>
    </row>
    <row r="14" spans="1:15" ht="16.2">
      <c r="A14" s="656" t="s">
        <v>2353</v>
      </c>
      <c r="F14"/>
      <c r="H14" s="657" t="s">
        <v>2354</v>
      </c>
      <c r="I14" s="658"/>
      <c r="J14" s="658"/>
      <c r="K14" s="658"/>
      <c r="L14" s="658"/>
      <c r="M14" s="658"/>
      <c r="N14" s="152"/>
    </row>
    <row r="15" spans="1:15">
      <c r="A15" s="652" t="s">
        <v>532</v>
      </c>
      <c r="B15" s="647" t="s">
        <v>2355</v>
      </c>
      <c r="C15" s="647" t="s">
        <v>2123</v>
      </c>
      <c r="D15" s="647" t="s">
        <v>994</v>
      </c>
      <c r="E15" s="647" t="s">
        <v>2356</v>
      </c>
      <c r="F15" s="652" t="s">
        <v>2357</v>
      </c>
      <c r="G15" s="152"/>
      <c r="H15" s="659" t="s">
        <v>532</v>
      </c>
      <c r="I15" s="647" t="s">
        <v>2355</v>
      </c>
      <c r="J15" s="647" t="s">
        <v>2358</v>
      </c>
      <c r="K15" s="647" t="s">
        <v>994</v>
      </c>
      <c r="L15" s="647" t="s">
        <v>2356</v>
      </c>
      <c r="M15" s="647" t="s">
        <v>2359</v>
      </c>
      <c r="N15" s="652" t="s">
        <v>2357</v>
      </c>
    </row>
    <row r="16" spans="1:15">
      <c r="A16" s="660">
        <v>44501</v>
      </c>
      <c r="B16" s="658">
        <v>7234839</v>
      </c>
      <c r="C16" s="658"/>
      <c r="D16" s="658">
        <v>16135</v>
      </c>
      <c r="E16" s="658">
        <v>0</v>
      </c>
      <c r="F16" s="661">
        <f>+B16-C16</f>
        <v>7234839</v>
      </c>
      <c r="G16" s="152"/>
      <c r="H16" s="662">
        <v>44531</v>
      </c>
      <c r="I16" s="658">
        <v>0</v>
      </c>
      <c r="J16" s="658">
        <f>1960000+1437594+4809186+2985012</f>
        <v>11191792</v>
      </c>
      <c r="K16" s="658">
        <v>7577</v>
      </c>
      <c r="L16" s="658">
        <v>0</v>
      </c>
      <c r="M16" s="658"/>
      <c r="N16" s="661">
        <f>+I16+J16+K16+L16-M16</f>
        <v>11199369</v>
      </c>
    </row>
    <row r="17" spans="1:14">
      <c r="A17" s="660">
        <v>44531</v>
      </c>
      <c r="B17" s="658">
        <f>+F16</f>
        <v>7234839</v>
      </c>
      <c r="C17" s="658"/>
      <c r="D17" s="658">
        <v>45487</v>
      </c>
      <c r="E17" s="658">
        <v>29</v>
      </c>
      <c r="F17" s="661">
        <f t="shared" ref="F17:F20" si="1">+B17-C17</f>
        <v>7234839</v>
      </c>
      <c r="G17" s="663"/>
      <c r="H17" s="662">
        <v>44562</v>
      </c>
      <c r="I17" s="658">
        <f>+N16</f>
        <v>11199369</v>
      </c>
      <c r="J17" s="658">
        <f>2322000+1420962+3135000+1989302</f>
        <v>8867264</v>
      </c>
      <c r="K17" s="658">
        <f>103383</f>
        <v>103383</v>
      </c>
      <c r="L17" s="658">
        <v>12435</v>
      </c>
      <c r="M17" s="658"/>
      <c r="N17" s="661">
        <f t="shared" ref="N17:N19" si="2">+I17+J17+K17+L17-M17</f>
        <v>20182451</v>
      </c>
    </row>
    <row r="18" spans="1:14">
      <c r="A18" s="660">
        <v>44562</v>
      </c>
      <c r="B18" s="658">
        <f t="shared" ref="B18" si="3">+F17+C18</f>
        <v>7234839</v>
      </c>
      <c r="C18" s="658"/>
      <c r="D18" s="658">
        <v>45487</v>
      </c>
      <c r="E18" s="658">
        <v>82</v>
      </c>
      <c r="F18" s="661">
        <f t="shared" si="1"/>
        <v>7234839</v>
      </c>
      <c r="G18" s="152"/>
      <c r="H18" s="662">
        <v>44593</v>
      </c>
      <c r="I18" s="658">
        <f t="shared" ref="I18" si="4">+N17+J18</f>
        <v>20182451</v>
      </c>
      <c r="J18" s="658"/>
      <c r="K18" s="658">
        <v>131407</v>
      </c>
      <c r="L18" s="658">
        <v>64995</v>
      </c>
      <c r="M18" s="658">
        <f>12435+298618</f>
        <v>311053</v>
      </c>
      <c r="N18" s="661">
        <f t="shared" si="2"/>
        <v>20067800</v>
      </c>
    </row>
    <row r="19" spans="1:14">
      <c r="A19" s="660">
        <v>44593</v>
      </c>
      <c r="B19" s="658">
        <f>+F18</f>
        <v>7234839</v>
      </c>
      <c r="C19" s="658">
        <v>87855</v>
      </c>
      <c r="D19" s="658">
        <v>41053</v>
      </c>
      <c r="E19" s="658">
        <v>74</v>
      </c>
      <c r="F19" s="661">
        <f t="shared" si="1"/>
        <v>7146984</v>
      </c>
      <c r="G19" s="152"/>
      <c r="H19" s="662">
        <v>44621</v>
      </c>
      <c r="I19" s="658">
        <f>+N18</f>
        <v>20067800</v>
      </c>
      <c r="J19" s="658">
        <f>252071+700000+737393+118+118+118</f>
        <v>1689818</v>
      </c>
      <c r="K19" s="658">
        <v>147945</v>
      </c>
      <c r="L19" s="658">
        <v>71416</v>
      </c>
      <c r="M19" s="658">
        <v>233269</v>
      </c>
      <c r="N19" s="664">
        <f t="shared" si="2"/>
        <v>21743710</v>
      </c>
    </row>
    <row r="20" spans="1:14">
      <c r="A20" s="660">
        <v>44621</v>
      </c>
      <c r="B20" s="658">
        <f>+F19+C20</f>
        <v>7146984</v>
      </c>
      <c r="C20" s="658">
        <v>0</v>
      </c>
      <c r="D20" s="658">
        <v>45167</v>
      </c>
      <c r="E20" s="658">
        <v>82</v>
      </c>
      <c r="F20" s="664">
        <f t="shared" si="1"/>
        <v>7146984</v>
      </c>
      <c r="G20" s="152"/>
      <c r="H20" s="662"/>
      <c r="I20" s="658"/>
      <c r="J20" s="658"/>
      <c r="K20" s="665">
        <f>+SUM(K16:K19)</f>
        <v>390312</v>
      </c>
      <c r="L20" s="665">
        <f>+SUM(L16:L19)</f>
        <v>148846</v>
      </c>
      <c r="M20" s="658"/>
      <c r="N20" s="661"/>
    </row>
    <row r="21" spans="1:14">
      <c r="A21" s="660"/>
      <c r="B21" s="658"/>
      <c r="C21" s="658"/>
      <c r="D21" s="665">
        <f>+SUM(D16:D20)</f>
        <v>193329</v>
      </c>
      <c r="E21" s="665">
        <f>+SUM(E16:E20)</f>
        <v>267</v>
      </c>
      <c r="F21" s="661"/>
      <c r="G21" s="152"/>
      <c r="H21" s="666">
        <v>44673</v>
      </c>
      <c r="I21" s="504">
        <f>+N19</f>
        <v>21743710</v>
      </c>
      <c r="K21" s="667"/>
      <c r="N21" s="12"/>
    </row>
    <row r="22" spans="1:14">
      <c r="A22" s="152"/>
      <c r="B22" s="658"/>
      <c r="C22" s="658"/>
      <c r="D22" s="658"/>
      <c r="E22" s="658"/>
      <c r="F22" s="152"/>
      <c r="G22" s="152"/>
      <c r="H22" s="666">
        <v>44743</v>
      </c>
      <c r="I22" s="504">
        <f>+N22</f>
        <v>17868710</v>
      </c>
      <c r="M22" s="504">
        <v>3875000</v>
      </c>
      <c r="N22" s="668">
        <f>+I21+J22-M22</f>
        <v>17868710</v>
      </c>
    </row>
    <row r="23" spans="1:14">
      <c r="A23" s="660">
        <v>44986</v>
      </c>
      <c r="B23" s="658">
        <f>+F20</f>
        <v>7146984</v>
      </c>
      <c r="C23" s="658">
        <v>0</v>
      </c>
      <c r="D23" s="658">
        <f>+B23*7.4%</f>
        <v>528876.81600000011</v>
      </c>
      <c r="E23" s="658">
        <v>0</v>
      </c>
      <c r="F23" s="661">
        <f>+B23</f>
        <v>7146984</v>
      </c>
      <c r="G23" s="152"/>
      <c r="H23" s="666">
        <v>44856</v>
      </c>
      <c r="I23" s="504">
        <f>+N23</f>
        <v>13993710</v>
      </c>
      <c r="M23" s="504">
        <v>3875000</v>
      </c>
      <c r="N23" s="668">
        <f>+I22+J23-M23</f>
        <v>13993710</v>
      </c>
    </row>
    <row r="24" spans="1:14">
      <c r="A24" s="660">
        <v>45261</v>
      </c>
      <c r="B24" s="658">
        <f>+F23</f>
        <v>7146984</v>
      </c>
      <c r="C24" s="658"/>
      <c r="D24" s="658"/>
      <c r="E24" s="658"/>
      <c r="F24" s="152"/>
      <c r="G24" s="152"/>
      <c r="H24" s="627">
        <v>44583</v>
      </c>
      <c r="I24" s="504">
        <f>+N24</f>
        <v>10118710</v>
      </c>
      <c r="M24" s="504">
        <v>3875000</v>
      </c>
      <c r="N24" s="668">
        <f>+I23+J24-M24</f>
        <v>10118710</v>
      </c>
    </row>
    <row r="25" spans="1:14">
      <c r="A25" s="666"/>
      <c r="B25" s="389"/>
      <c r="C25" s="389"/>
      <c r="D25" s="389"/>
      <c r="E25" s="389"/>
      <c r="F25"/>
      <c r="H25" s="627"/>
      <c r="I25" s="504"/>
      <c r="N25" s="668"/>
    </row>
    <row r="26" spans="1:14">
      <c r="A26" s="660">
        <v>44652</v>
      </c>
      <c r="B26" s="658">
        <f>+F20</f>
        <v>7146984</v>
      </c>
      <c r="C26" s="658">
        <f>+D26</f>
        <v>43772</v>
      </c>
      <c r="D26" s="658">
        <f>43693+79</f>
        <v>43772</v>
      </c>
      <c r="E26" s="658"/>
      <c r="F26" s="661">
        <f>+B26-C26+D26</f>
        <v>7146984</v>
      </c>
      <c r="G26" s="152"/>
      <c r="H26" s="666">
        <v>45017</v>
      </c>
      <c r="I26" s="504"/>
      <c r="M26" s="504">
        <v>3875000</v>
      </c>
      <c r="N26" s="668"/>
    </row>
    <row r="27" spans="1:14">
      <c r="A27" s="660">
        <v>44682</v>
      </c>
      <c r="B27" s="658">
        <f>+F26</f>
        <v>7146984</v>
      </c>
      <c r="C27" s="658">
        <f t="shared" ref="C27:C37" si="5">+D27</f>
        <v>45198</v>
      </c>
      <c r="D27" s="658">
        <f>45116+82</f>
        <v>45198</v>
      </c>
      <c r="E27" s="658"/>
      <c r="F27" s="661">
        <f t="shared" ref="F27:F37" si="6">+B27-C27+D27</f>
        <v>7146984</v>
      </c>
      <c r="G27" s="152"/>
      <c r="H27" s="666">
        <v>45108</v>
      </c>
      <c r="I27" s="504"/>
      <c r="M27" s="504">
        <v>3875000</v>
      </c>
      <c r="N27" s="668"/>
    </row>
    <row r="28" spans="1:14">
      <c r="A28" s="660">
        <v>44713</v>
      </c>
      <c r="B28" s="658">
        <f t="shared" ref="B28:B37" si="7">+F27</f>
        <v>7146984</v>
      </c>
      <c r="C28" s="658">
        <f t="shared" si="5"/>
        <v>47678</v>
      </c>
      <c r="D28" s="658">
        <f>47599+79</f>
        <v>47678</v>
      </c>
      <c r="E28" s="658"/>
      <c r="F28" s="661">
        <f t="shared" si="6"/>
        <v>7146984</v>
      </c>
      <c r="G28" s="152"/>
      <c r="H28" s="666">
        <v>45200</v>
      </c>
      <c r="I28" s="504"/>
      <c r="M28" s="504">
        <v>3875000</v>
      </c>
      <c r="N28" s="668"/>
    </row>
    <row r="29" spans="1:14">
      <c r="A29" s="660">
        <v>44743</v>
      </c>
      <c r="B29" s="658">
        <f t="shared" si="7"/>
        <v>7146984</v>
      </c>
      <c r="C29" s="658">
        <f t="shared" si="5"/>
        <v>50704</v>
      </c>
      <c r="D29" s="658">
        <f>50622+82</f>
        <v>50704</v>
      </c>
      <c r="E29" s="658"/>
      <c r="F29" s="661">
        <f t="shared" si="6"/>
        <v>7146984</v>
      </c>
      <c r="G29" s="152"/>
      <c r="H29" s="666">
        <v>45292</v>
      </c>
      <c r="I29" s="504"/>
      <c r="M29" s="504">
        <v>3875000</v>
      </c>
      <c r="N29" s="668"/>
    </row>
    <row r="30" spans="1:14">
      <c r="A30" s="660">
        <v>44774</v>
      </c>
      <c r="B30" s="658">
        <f t="shared" si="7"/>
        <v>7146984</v>
      </c>
      <c r="C30" s="658">
        <f t="shared" si="5"/>
        <v>52408</v>
      </c>
      <c r="D30" s="658">
        <f>52326+82</f>
        <v>52408</v>
      </c>
      <c r="E30" s="658"/>
      <c r="F30" s="661">
        <f t="shared" si="6"/>
        <v>7146984</v>
      </c>
      <c r="G30" s="152"/>
      <c r="H30" s="627"/>
      <c r="I30" s="504"/>
      <c r="N30" s="668"/>
    </row>
    <row r="31" spans="1:14">
      <c r="A31" s="660">
        <v>44805</v>
      </c>
      <c r="B31" s="658">
        <f t="shared" si="7"/>
        <v>7146984</v>
      </c>
      <c r="C31" s="658">
        <f t="shared" si="5"/>
        <v>52033</v>
      </c>
      <c r="D31" s="658">
        <f>51954+79</f>
        <v>52033</v>
      </c>
      <c r="E31" s="658"/>
      <c r="F31" s="661">
        <f t="shared" si="6"/>
        <v>7146984</v>
      </c>
      <c r="G31" s="152"/>
      <c r="H31" s="627"/>
      <c r="I31" s="504"/>
      <c r="N31" s="668"/>
    </row>
    <row r="32" spans="1:14">
      <c r="A32" s="660">
        <v>44835</v>
      </c>
      <c r="B32" s="658">
        <f t="shared" si="7"/>
        <v>7146984</v>
      </c>
      <c r="C32" s="658">
        <f t="shared" si="5"/>
        <v>56352</v>
      </c>
      <c r="D32" s="658">
        <f>56270+82</f>
        <v>56352</v>
      </c>
      <c r="E32" s="658"/>
      <c r="F32" s="661">
        <f t="shared" si="6"/>
        <v>7146984</v>
      </c>
      <c r="G32" s="152"/>
      <c r="H32" s="627"/>
      <c r="I32" s="504"/>
      <c r="N32" s="668"/>
    </row>
    <row r="33" spans="1:15">
      <c r="A33" s="660">
        <v>44866</v>
      </c>
      <c r="B33" s="658">
        <f t="shared" si="7"/>
        <v>7146984</v>
      </c>
      <c r="C33" s="658">
        <f t="shared" si="5"/>
        <v>54750</v>
      </c>
      <c r="D33" s="658">
        <f>54671+79</f>
        <v>54750</v>
      </c>
      <c r="E33" s="658"/>
      <c r="F33" s="661">
        <f t="shared" si="6"/>
        <v>7146984</v>
      </c>
      <c r="G33" s="152"/>
      <c r="H33" s="627"/>
      <c r="I33" s="504"/>
      <c r="N33" s="668"/>
    </row>
    <row r="34" spans="1:15">
      <c r="A34" s="660">
        <v>44896</v>
      </c>
      <c r="B34" s="658">
        <f t="shared" si="7"/>
        <v>7146984</v>
      </c>
      <c r="C34" s="658">
        <f t="shared" si="5"/>
        <v>57104</v>
      </c>
      <c r="D34" s="658">
        <f>57022+82</f>
        <v>57104</v>
      </c>
      <c r="E34" s="658"/>
      <c r="F34" s="661">
        <f t="shared" si="6"/>
        <v>7146984</v>
      </c>
      <c r="G34" s="152"/>
      <c r="H34" s="627"/>
      <c r="I34" s="504"/>
      <c r="N34" s="668"/>
    </row>
    <row r="35" spans="1:15">
      <c r="A35" s="660">
        <v>44927</v>
      </c>
      <c r="B35" s="658">
        <f t="shared" si="7"/>
        <v>7146984</v>
      </c>
      <c r="C35" s="658">
        <f t="shared" si="5"/>
        <v>56685</v>
      </c>
      <c r="D35" s="658">
        <f>56603+82</f>
        <v>56685</v>
      </c>
      <c r="E35" s="658"/>
      <c r="F35" s="661">
        <f t="shared" si="6"/>
        <v>7146984</v>
      </c>
      <c r="G35" s="152"/>
      <c r="H35" s="627"/>
      <c r="I35" s="504"/>
      <c r="N35" s="668"/>
    </row>
    <row r="36" spans="1:15">
      <c r="A36" s="660">
        <v>44958</v>
      </c>
      <c r="B36" s="658">
        <f t="shared" si="7"/>
        <v>7146984</v>
      </c>
      <c r="C36" s="658">
        <f t="shared" si="5"/>
        <v>51270</v>
      </c>
      <c r="D36" s="658">
        <f>51196+74</f>
        <v>51270</v>
      </c>
      <c r="E36" s="658"/>
      <c r="F36" s="661">
        <f t="shared" si="6"/>
        <v>7146984</v>
      </c>
      <c r="G36" s="152"/>
      <c r="M36" s="504">
        <v>3875000</v>
      </c>
      <c r="N36" s="668">
        <f>+I24+J36-M36</f>
        <v>6243710</v>
      </c>
    </row>
    <row r="37" spans="1:15">
      <c r="A37" s="660">
        <v>44986</v>
      </c>
      <c r="B37" s="658">
        <f t="shared" si="7"/>
        <v>7146984</v>
      </c>
      <c r="C37" s="658">
        <f t="shared" si="5"/>
        <v>56749</v>
      </c>
      <c r="D37" s="658">
        <f>56667+82</f>
        <v>56749</v>
      </c>
      <c r="E37" s="658"/>
      <c r="F37" s="661">
        <f t="shared" si="6"/>
        <v>7146984</v>
      </c>
      <c r="G37" s="152"/>
      <c r="N37" s="668"/>
    </row>
    <row r="38" spans="1:15">
      <c r="A38" s="660"/>
      <c r="B38" s="658"/>
      <c r="C38" s="658"/>
      <c r="D38" s="665">
        <f>SUM(D26:D37)</f>
        <v>624703</v>
      </c>
      <c r="E38" s="658"/>
      <c r="F38" s="661"/>
      <c r="G38" s="152"/>
      <c r="N38" s="668"/>
    </row>
    <row r="39" spans="1:15">
      <c r="M39" s="667">
        <f>+SUM(M22:M36)</f>
        <v>31000000</v>
      </c>
    </row>
    <row r="40" spans="1:15" ht="16.2">
      <c r="A40" s="657" t="s">
        <v>2360</v>
      </c>
      <c r="B40" s="658"/>
      <c r="C40" s="658"/>
      <c r="D40" s="669">
        <v>7.3999999999999996E-2</v>
      </c>
      <c r="E40" s="658">
        <v>12</v>
      </c>
      <c r="F40" s="152"/>
      <c r="G40" s="152"/>
    </row>
    <row r="41" spans="1:15">
      <c r="A41" s="652" t="s">
        <v>532</v>
      </c>
      <c r="B41" s="647" t="s">
        <v>2355</v>
      </c>
      <c r="C41" s="647" t="s">
        <v>2123</v>
      </c>
      <c r="D41" s="647" t="s">
        <v>994</v>
      </c>
      <c r="E41" s="647" t="s">
        <v>2361</v>
      </c>
      <c r="F41" s="647" t="s">
        <v>2362</v>
      </c>
      <c r="G41" s="652" t="s">
        <v>2357</v>
      </c>
      <c r="H41" s="641"/>
      <c r="J41"/>
      <c r="O41" s="504"/>
    </row>
    <row r="42" spans="1:15">
      <c r="A42" s="660">
        <v>44287</v>
      </c>
      <c r="B42" s="658">
        <v>14600000</v>
      </c>
      <c r="C42" s="658"/>
      <c r="D42" s="658">
        <v>88874</v>
      </c>
      <c r="E42" s="658">
        <v>88874</v>
      </c>
      <c r="F42" s="658">
        <v>0</v>
      </c>
      <c r="G42" s="661">
        <f>+B42+D42-E42</f>
        <v>14600000</v>
      </c>
      <c r="H42" s="12"/>
      <c r="J42"/>
      <c r="O42" s="504"/>
    </row>
    <row r="43" spans="1:15">
      <c r="A43" s="660">
        <v>44317</v>
      </c>
      <c r="B43" s="658">
        <f>+G42+C43</f>
        <v>14600000</v>
      </c>
      <c r="C43" s="658"/>
      <c r="D43" s="658">
        <v>91796</v>
      </c>
      <c r="E43" s="658">
        <v>91796</v>
      </c>
      <c r="F43" s="658">
        <v>0</v>
      </c>
      <c r="G43" s="661">
        <f>+B43+D43-E43</f>
        <v>14600000</v>
      </c>
      <c r="H43" s="12"/>
      <c r="J43"/>
      <c r="O43" s="504"/>
    </row>
    <row r="44" spans="1:15">
      <c r="A44" s="660">
        <v>44348</v>
      </c>
      <c r="B44" s="658">
        <f>+G43+C44</f>
        <v>14600000</v>
      </c>
      <c r="C44" s="658"/>
      <c r="D44" s="658">
        <v>88800</v>
      </c>
      <c r="E44" s="658">
        <v>88800</v>
      </c>
      <c r="F44" s="658">
        <v>0</v>
      </c>
      <c r="G44" s="661">
        <f>+B44+D44-E44</f>
        <v>14600000</v>
      </c>
      <c r="H44" s="12"/>
      <c r="I44" s="504">
        <f>405556*10</f>
        <v>4055560</v>
      </c>
      <c r="J44"/>
      <c r="O44" s="504"/>
    </row>
    <row r="45" spans="1:15">
      <c r="A45" s="660">
        <v>44378</v>
      </c>
      <c r="B45" s="658">
        <f>+G44</f>
        <v>14600000</v>
      </c>
      <c r="C45" s="658">
        <v>811112</v>
      </c>
      <c r="D45" s="658">
        <v>89622</v>
      </c>
      <c r="E45" s="658"/>
      <c r="F45" s="658">
        <f>+C45+D45</f>
        <v>900734</v>
      </c>
      <c r="G45" s="661">
        <f>+B45-C45+D45-E45</f>
        <v>13878510</v>
      </c>
      <c r="H45" s="12"/>
      <c r="J45"/>
      <c r="O45" s="504"/>
    </row>
    <row r="46" spans="1:15">
      <c r="A46" s="660">
        <v>44409</v>
      </c>
      <c r="B46" s="658">
        <f t="shared" ref="B46:B53" si="8">+G45</f>
        <v>13878510</v>
      </c>
      <c r="C46" s="658">
        <v>495179</v>
      </c>
      <c r="D46" s="658">
        <v>84214</v>
      </c>
      <c r="E46" s="658"/>
      <c r="F46" s="658">
        <f t="shared" ref="F46:F53" si="9">+C46+D46</f>
        <v>579393</v>
      </c>
      <c r="G46" s="661">
        <f t="shared" ref="G46:G53" si="10">+B46-C46+D46-E46</f>
        <v>13467545</v>
      </c>
      <c r="H46" s="12"/>
      <c r="J46"/>
      <c r="O46" s="504"/>
    </row>
    <row r="47" spans="1:15">
      <c r="A47" s="660">
        <v>44440</v>
      </c>
      <c r="B47" s="658">
        <f t="shared" si="8"/>
        <v>13467545</v>
      </c>
      <c r="C47" s="658">
        <v>492136</v>
      </c>
      <c r="D47" s="658">
        <v>78919</v>
      </c>
      <c r="E47" s="665"/>
      <c r="F47" s="658">
        <f t="shared" si="9"/>
        <v>571055</v>
      </c>
      <c r="G47" s="661">
        <f t="shared" si="10"/>
        <v>13054328</v>
      </c>
      <c r="H47" s="12"/>
      <c r="J47"/>
      <c r="O47" s="504"/>
    </row>
    <row r="48" spans="1:15">
      <c r="A48" s="660">
        <v>44470</v>
      </c>
      <c r="B48" s="658">
        <f t="shared" si="8"/>
        <v>13054328</v>
      </c>
      <c r="C48" s="658">
        <v>487383</v>
      </c>
      <c r="D48" s="658">
        <v>78982</v>
      </c>
      <c r="E48" s="658"/>
      <c r="F48" s="658">
        <f t="shared" si="9"/>
        <v>566365</v>
      </c>
      <c r="G48" s="661">
        <f t="shared" si="10"/>
        <v>12645927</v>
      </c>
      <c r="H48" s="12"/>
      <c r="J48"/>
      <c r="O48" s="504"/>
    </row>
    <row r="49" spans="1:15">
      <c r="A49" s="660">
        <v>44501</v>
      </c>
      <c r="B49" s="658">
        <f t="shared" si="8"/>
        <v>12645927</v>
      </c>
      <c r="C49" s="658">
        <v>487536</v>
      </c>
      <c r="D49" s="658">
        <v>74049</v>
      </c>
      <c r="E49" s="658"/>
      <c r="F49" s="658">
        <f t="shared" si="9"/>
        <v>561585</v>
      </c>
      <c r="G49" s="661">
        <f t="shared" si="10"/>
        <v>12232440</v>
      </c>
      <c r="H49" s="12"/>
      <c r="J49"/>
      <c r="O49" s="504"/>
    </row>
    <row r="50" spans="1:15">
      <c r="A50" s="660">
        <v>44531</v>
      </c>
      <c r="B50" s="658">
        <f t="shared" si="8"/>
        <v>12232440</v>
      </c>
      <c r="C50" s="658">
        <v>482423</v>
      </c>
      <c r="D50" s="658">
        <v>73946</v>
      </c>
      <c r="E50" s="658"/>
      <c r="F50" s="658">
        <f t="shared" si="9"/>
        <v>556369</v>
      </c>
      <c r="G50" s="661">
        <f t="shared" si="10"/>
        <v>11823963</v>
      </c>
      <c r="H50" s="12"/>
      <c r="J50"/>
      <c r="O50" s="504"/>
    </row>
    <row r="51" spans="1:15">
      <c r="A51" s="660">
        <v>44562</v>
      </c>
      <c r="B51" s="658">
        <f t="shared" si="8"/>
        <v>11823963</v>
      </c>
      <c r="C51" s="658">
        <v>465614</v>
      </c>
      <c r="D51" s="658">
        <v>71575</v>
      </c>
      <c r="E51" s="658"/>
      <c r="F51" s="658">
        <f t="shared" si="9"/>
        <v>537189</v>
      </c>
      <c r="G51" s="661">
        <f t="shared" si="10"/>
        <v>11429924</v>
      </c>
      <c r="H51" s="12"/>
      <c r="J51"/>
      <c r="O51" s="504"/>
    </row>
    <row r="52" spans="1:15">
      <c r="A52" s="660">
        <v>44593</v>
      </c>
      <c r="B52" s="658">
        <f t="shared" si="8"/>
        <v>11429924</v>
      </c>
      <c r="C52" s="658">
        <v>996885</v>
      </c>
      <c r="D52" s="658">
        <v>62226</v>
      </c>
      <c r="E52" s="658"/>
      <c r="F52" s="658">
        <f t="shared" si="9"/>
        <v>1059111</v>
      </c>
      <c r="G52" s="661">
        <f t="shared" si="10"/>
        <v>10495265</v>
      </c>
      <c r="H52" s="12"/>
    </row>
    <row r="53" spans="1:15">
      <c r="A53" s="660">
        <v>44621</v>
      </c>
      <c r="B53" s="658">
        <f t="shared" si="8"/>
        <v>10495265</v>
      </c>
      <c r="C53" s="658">
        <v>79748</v>
      </c>
      <c r="D53" s="658">
        <v>65946</v>
      </c>
      <c r="E53" s="658"/>
      <c r="F53" s="658">
        <f t="shared" si="9"/>
        <v>145694</v>
      </c>
      <c r="G53" s="661">
        <f t="shared" si="10"/>
        <v>10481463</v>
      </c>
      <c r="H53" s="12"/>
    </row>
    <row r="54" spans="1:15">
      <c r="A54" s="152"/>
      <c r="B54" s="658"/>
      <c r="C54" s="665">
        <f>+SUM(C45:C53)</f>
        <v>4798016</v>
      </c>
      <c r="D54" s="665">
        <f>+SUM(D42:D53)</f>
        <v>948949</v>
      </c>
      <c r="E54" s="665">
        <f>+SUM(E42:E53)</f>
        <v>269470</v>
      </c>
      <c r="F54" s="670"/>
      <c r="G54" s="152"/>
      <c r="I54" s="12">
        <f>+C54-D54+E54</f>
        <v>4118537</v>
      </c>
    </row>
    <row r="55" spans="1:15">
      <c r="A55" s="660"/>
      <c r="B55" s="658"/>
      <c r="C55" s="658"/>
      <c r="D55" s="658"/>
      <c r="E55" s="658"/>
      <c r="F55" s="670"/>
      <c r="G55" s="152"/>
    </row>
    <row r="56" spans="1:15">
      <c r="A56" s="660">
        <v>44652</v>
      </c>
      <c r="B56" s="658">
        <f>+G53</f>
        <v>10481463</v>
      </c>
      <c r="C56" s="658">
        <v>460710</v>
      </c>
      <c r="D56" s="658">
        <v>62752</v>
      </c>
      <c r="E56" s="658">
        <f>+D56</f>
        <v>62752</v>
      </c>
      <c r="F56" s="670"/>
      <c r="G56" s="661">
        <f>+B56-C56+D56-E56</f>
        <v>10020753</v>
      </c>
      <c r="H56" s="12"/>
    </row>
    <row r="57" spans="1:15">
      <c r="A57" s="660">
        <v>44682</v>
      </c>
      <c r="B57" s="658">
        <f>+G56</f>
        <v>10020753</v>
      </c>
      <c r="C57" s="658">
        <v>454440</v>
      </c>
      <c r="D57" s="658">
        <v>60584</v>
      </c>
      <c r="E57" s="658">
        <f t="shared" ref="E57:E67" si="11">+D57</f>
        <v>60584</v>
      </c>
      <c r="F57" s="670"/>
      <c r="G57" s="661">
        <f t="shared" ref="G57:G67" si="12">+B57-C57+D57-E57</f>
        <v>9566313</v>
      </c>
      <c r="H57" s="12"/>
    </row>
    <row r="58" spans="1:15">
      <c r="A58" s="660">
        <v>44713</v>
      </c>
      <c r="B58" s="658">
        <f t="shared" ref="B58:B67" si="13">+G57</f>
        <v>9566313</v>
      </c>
      <c r="C58" s="658">
        <v>455968</v>
      </c>
      <c r="D58" s="658">
        <v>61097</v>
      </c>
      <c r="E58" s="658">
        <f t="shared" si="11"/>
        <v>61097</v>
      </c>
      <c r="F58" s="670"/>
      <c r="G58" s="661">
        <f t="shared" si="12"/>
        <v>9110345</v>
      </c>
      <c r="H58" s="12"/>
    </row>
    <row r="59" spans="1:15">
      <c r="A59" s="660">
        <v>44743</v>
      </c>
      <c r="B59" s="658">
        <f t="shared" si="13"/>
        <v>9110345</v>
      </c>
      <c r="C59" s="658">
        <v>455296</v>
      </c>
      <c r="D59" s="658">
        <v>61768</v>
      </c>
      <c r="E59" s="658">
        <f t="shared" si="11"/>
        <v>61768</v>
      </c>
      <c r="F59" s="670"/>
      <c r="G59" s="661">
        <f t="shared" si="12"/>
        <v>8655049</v>
      </c>
      <c r="H59" s="12"/>
    </row>
    <row r="60" spans="1:15">
      <c r="A60" s="660">
        <v>44774</v>
      </c>
      <c r="B60" s="658">
        <f t="shared" si="13"/>
        <v>8655049</v>
      </c>
      <c r="C60" s="658">
        <v>456582</v>
      </c>
      <c r="D60" s="658">
        <v>60483</v>
      </c>
      <c r="E60" s="658">
        <f t="shared" si="11"/>
        <v>60483</v>
      </c>
      <c r="F60" s="670"/>
      <c r="G60" s="661">
        <f t="shared" si="12"/>
        <v>8198467</v>
      </c>
      <c r="H60" s="12"/>
    </row>
    <row r="61" spans="1:15">
      <c r="A61" s="660">
        <v>44805</v>
      </c>
      <c r="B61" s="658">
        <f t="shared" si="13"/>
        <v>8198467</v>
      </c>
      <c r="C61" s="658">
        <v>460171</v>
      </c>
      <c r="D61" s="658">
        <v>56893</v>
      </c>
      <c r="E61" s="658">
        <f t="shared" si="11"/>
        <v>56893</v>
      </c>
      <c r="F61" s="670"/>
      <c r="G61" s="661">
        <f t="shared" si="12"/>
        <v>7738296</v>
      </c>
      <c r="H61" s="12"/>
    </row>
    <row r="62" spans="1:15">
      <c r="A62" s="660">
        <v>44835</v>
      </c>
      <c r="B62" s="658">
        <f t="shared" si="13"/>
        <v>7738296</v>
      </c>
      <c r="C62" s="658">
        <v>390593</v>
      </c>
      <c r="D62" s="658">
        <v>57968</v>
      </c>
      <c r="E62" s="658">
        <f t="shared" si="11"/>
        <v>57968</v>
      </c>
      <c r="F62" s="670"/>
      <c r="G62" s="661">
        <f t="shared" si="12"/>
        <v>7347703</v>
      </c>
      <c r="H62" s="12"/>
    </row>
    <row r="63" spans="1:15">
      <c r="A63" s="660">
        <v>44866</v>
      </c>
      <c r="B63" s="658">
        <f t="shared" si="13"/>
        <v>7347703</v>
      </c>
      <c r="C63" s="658">
        <v>463862</v>
      </c>
      <c r="D63" s="658">
        <v>53203</v>
      </c>
      <c r="E63" s="658">
        <f t="shared" si="11"/>
        <v>53203</v>
      </c>
      <c r="F63" s="670"/>
      <c r="G63" s="661">
        <f t="shared" si="12"/>
        <v>6883841</v>
      </c>
      <c r="H63" s="12"/>
    </row>
    <row r="64" spans="1:15">
      <c r="A64" s="660">
        <v>44896</v>
      </c>
      <c r="B64" s="658">
        <f t="shared" si="13"/>
        <v>6883841</v>
      </c>
      <c r="C64" s="658">
        <v>465409</v>
      </c>
      <c r="D64" s="658">
        <v>51656</v>
      </c>
      <c r="E64" s="658">
        <f t="shared" si="11"/>
        <v>51656</v>
      </c>
      <c r="F64" s="670"/>
      <c r="G64" s="661">
        <f t="shared" si="12"/>
        <v>6418432</v>
      </c>
      <c r="H64" s="12"/>
    </row>
    <row r="65" spans="1:8">
      <c r="A65" s="660">
        <v>44927</v>
      </c>
      <c r="B65" s="658">
        <f t="shared" si="13"/>
        <v>6418432</v>
      </c>
      <c r="C65" s="658">
        <v>469638</v>
      </c>
      <c r="D65" s="658">
        <v>47427</v>
      </c>
      <c r="E65" s="658">
        <f t="shared" si="11"/>
        <v>47427</v>
      </c>
      <c r="F65" s="670"/>
      <c r="G65" s="661">
        <f t="shared" si="12"/>
        <v>5948794</v>
      </c>
      <c r="H65" s="12"/>
    </row>
    <row r="66" spans="1:8">
      <c r="A66" s="660">
        <v>44958</v>
      </c>
      <c r="B66" s="658">
        <f t="shared" si="13"/>
        <v>5948794</v>
      </c>
      <c r="C66" s="658">
        <v>477624</v>
      </c>
      <c r="D66" s="658">
        <v>39441</v>
      </c>
      <c r="E66" s="658">
        <f t="shared" si="11"/>
        <v>39441</v>
      </c>
      <c r="F66" s="670"/>
      <c r="G66" s="661">
        <f t="shared" si="12"/>
        <v>5471170</v>
      </c>
      <c r="H66" s="12"/>
    </row>
    <row r="67" spans="1:8">
      <c r="A67" s="660">
        <v>44986</v>
      </c>
      <c r="B67" s="658">
        <f t="shared" si="13"/>
        <v>5471170</v>
      </c>
      <c r="C67" s="658">
        <v>427511</v>
      </c>
      <c r="D67" s="658">
        <v>40522</v>
      </c>
      <c r="E67" s="658">
        <f t="shared" si="11"/>
        <v>40522</v>
      </c>
      <c r="F67" s="670"/>
      <c r="G67" s="664">
        <f t="shared" si="12"/>
        <v>5043659</v>
      </c>
      <c r="H67" s="671"/>
    </row>
    <row r="68" spans="1:8">
      <c r="A68" s="152"/>
      <c r="B68" s="658"/>
      <c r="C68" s="665">
        <f>+SUM(C56:C67)</f>
        <v>5437804</v>
      </c>
      <c r="D68" s="665">
        <f>SUM(D56:D67)</f>
        <v>653794</v>
      </c>
      <c r="E68" s="658"/>
      <c r="F68" s="670"/>
      <c r="G68" s="152"/>
    </row>
    <row r="70" spans="1:8">
      <c r="A70" s="660">
        <v>45017</v>
      </c>
      <c r="B70" s="658">
        <f>+G67</f>
        <v>5043659</v>
      </c>
      <c r="C70" s="658">
        <v>391668</v>
      </c>
      <c r="D70" s="658">
        <f>+B70*$D$40*1/$E$40</f>
        <v>31102.563833333334</v>
      </c>
      <c r="E70" s="658">
        <f>+D70</f>
        <v>31102.563833333334</v>
      </c>
      <c r="F70" s="670"/>
      <c r="G70" s="661">
        <f>+B70-C70+D70-E70</f>
        <v>4651991</v>
      </c>
    </row>
    <row r="71" spans="1:8">
      <c r="A71" s="660">
        <v>45047</v>
      </c>
      <c r="B71" s="658">
        <f>+G70</f>
        <v>4651991</v>
      </c>
      <c r="C71" s="658">
        <v>391668</v>
      </c>
      <c r="D71" s="658">
        <f t="shared" ref="D71:D81" si="14">+B71*$D$40*1/$E$40</f>
        <v>28687.27783333333</v>
      </c>
      <c r="E71" s="658">
        <f t="shared" ref="E71:E81" si="15">+D71</f>
        <v>28687.27783333333</v>
      </c>
      <c r="F71" s="670"/>
      <c r="G71" s="661">
        <f t="shared" ref="G71:G81" si="16">+B71-C71+D71-E71</f>
        <v>4260323</v>
      </c>
    </row>
    <row r="72" spans="1:8">
      <c r="A72" s="660">
        <v>45078</v>
      </c>
      <c r="B72" s="658">
        <f t="shared" ref="B72:B81" si="17">+G71</f>
        <v>4260323</v>
      </c>
      <c r="C72" s="658">
        <v>391668</v>
      </c>
      <c r="D72" s="658">
        <f t="shared" si="14"/>
        <v>26271.991833333333</v>
      </c>
      <c r="E72" s="658">
        <f t="shared" si="15"/>
        <v>26271.991833333333</v>
      </c>
      <c r="F72" s="670"/>
      <c r="G72" s="661">
        <f t="shared" si="16"/>
        <v>3868655</v>
      </c>
    </row>
    <row r="73" spans="1:8">
      <c r="A73" s="660">
        <v>45108</v>
      </c>
      <c r="B73" s="658">
        <f t="shared" si="17"/>
        <v>3868655</v>
      </c>
      <c r="C73" s="658">
        <v>391668</v>
      </c>
      <c r="D73" s="658">
        <f t="shared" si="14"/>
        <v>23856.70583333333</v>
      </c>
      <c r="E73" s="658">
        <f t="shared" si="15"/>
        <v>23856.70583333333</v>
      </c>
      <c r="F73" s="670"/>
      <c r="G73" s="661">
        <f t="shared" si="16"/>
        <v>3476987</v>
      </c>
    </row>
    <row r="74" spans="1:8">
      <c r="A74" s="660">
        <v>45139</v>
      </c>
      <c r="B74" s="658">
        <f t="shared" si="17"/>
        <v>3476987</v>
      </c>
      <c r="C74" s="658">
        <v>391668</v>
      </c>
      <c r="D74" s="658">
        <f t="shared" si="14"/>
        <v>21441.419833333333</v>
      </c>
      <c r="E74" s="658">
        <f t="shared" si="15"/>
        <v>21441.419833333333</v>
      </c>
      <c r="F74" s="670"/>
      <c r="G74" s="661">
        <f t="shared" si="16"/>
        <v>3085319</v>
      </c>
    </row>
    <row r="75" spans="1:8">
      <c r="A75" s="660">
        <v>45170</v>
      </c>
      <c r="B75" s="658">
        <f t="shared" si="17"/>
        <v>3085319</v>
      </c>
      <c r="C75" s="658">
        <v>391668</v>
      </c>
      <c r="D75" s="658">
        <f t="shared" si="14"/>
        <v>19026.133833333333</v>
      </c>
      <c r="E75" s="658">
        <f t="shared" si="15"/>
        <v>19026.133833333333</v>
      </c>
      <c r="F75" s="670"/>
      <c r="G75" s="661">
        <f t="shared" si="16"/>
        <v>2693651</v>
      </c>
    </row>
    <row r="76" spans="1:8">
      <c r="A76" s="660">
        <v>45200</v>
      </c>
      <c r="B76" s="658">
        <f t="shared" si="17"/>
        <v>2693651</v>
      </c>
      <c r="C76" s="658">
        <v>391668</v>
      </c>
      <c r="D76" s="658">
        <f t="shared" si="14"/>
        <v>16610.847833333333</v>
      </c>
      <c r="E76" s="658">
        <f t="shared" si="15"/>
        <v>16610.847833333333</v>
      </c>
      <c r="F76" s="670"/>
      <c r="G76" s="661">
        <f t="shared" si="16"/>
        <v>2301983</v>
      </c>
    </row>
    <row r="77" spans="1:8">
      <c r="A77" s="660">
        <v>45231</v>
      </c>
      <c r="B77" s="658">
        <f t="shared" si="17"/>
        <v>2301983</v>
      </c>
      <c r="C77" s="658">
        <v>391668</v>
      </c>
      <c r="D77" s="658">
        <f t="shared" si="14"/>
        <v>14195.561833333333</v>
      </c>
      <c r="E77" s="658">
        <f t="shared" si="15"/>
        <v>14195.561833333333</v>
      </c>
      <c r="F77" s="670"/>
      <c r="G77" s="661">
        <f t="shared" si="16"/>
        <v>1910315</v>
      </c>
    </row>
    <row r="78" spans="1:8">
      <c r="A78" s="660">
        <v>45261</v>
      </c>
      <c r="B78" s="658">
        <f t="shared" si="17"/>
        <v>1910315</v>
      </c>
      <c r="C78" s="658">
        <v>391668</v>
      </c>
      <c r="D78" s="658">
        <f t="shared" si="14"/>
        <v>11780.275833333333</v>
      </c>
      <c r="E78" s="658">
        <f t="shared" si="15"/>
        <v>11780.275833333333</v>
      </c>
      <c r="F78" s="670"/>
      <c r="G78" s="661">
        <f t="shared" si="16"/>
        <v>1518647</v>
      </c>
    </row>
    <row r="79" spans="1:8">
      <c r="A79" s="660">
        <v>45292</v>
      </c>
      <c r="B79" s="658">
        <f t="shared" si="17"/>
        <v>1518647</v>
      </c>
      <c r="C79" s="658">
        <v>391668</v>
      </c>
      <c r="D79" s="658">
        <f t="shared" si="14"/>
        <v>9364.9898333333331</v>
      </c>
      <c r="E79" s="658">
        <f t="shared" si="15"/>
        <v>9364.9898333333331</v>
      </c>
      <c r="F79" s="670"/>
      <c r="G79" s="661">
        <f t="shared" si="16"/>
        <v>1126979</v>
      </c>
    </row>
    <row r="80" spans="1:8">
      <c r="A80" s="660">
        <v>45323</v>
      </c>
      <c r="B80" s="658">
        <f t="shared" si="17"/>
        <v>1126979</v>
      </c>
      <c r="C80" s="658">
        <v>391668</v>
      </c>
      <c r="D80" s="658">
        <f t="shared" si="14"/>
        <v>6949.703833333333</v>
      </c>
      <c r="E80" s="658">
        <f t="shared" si="15"/>
        <v>6949.703833333333</v>
      </c>
      <c r="F80" s="670"/>
      <c r="G80" s="661">
        <f t="shared" si="16"/>
        <v>735311</v>
      </c>
    </row>
    <row r="81" spans="1:7">
      <c r="A81" s="660">
        <v>45352</v>
      </c>
      <c r="B81" s="658">
        <f t="shared" si="17"/>
        <v>735311</v>
      </c>
      <c r="C81" s="658">
        <v>391668</v>
      </c>
      <c r="D81" s="658">
        <f t="shared" si="14"/>
        <v>4534.417833333333</v>
      </c>
      <c r="E81" s="658">
        <f t="shared" si="15"/>
        <v>4534.417833333333</v>
      </c>
      <c r="F81" s="670"/>
      <c r="G81" s="664">
        <f t="shared" si="16"/>
        <v>343643</v>
      </c>
    </row>
    <row r="82" spans="1:7">
      <c r="A82" s="152"/>
      <c r="B82" s="658"/>
      <c r="C82" s="665">
        <f>SUM(C70:C81)</f>
        <v>4700016</v>
      </c>
      <c r="D82" s="658"/>
      <c r="E82" s="658"/>
      <c r="F82" s="670"/>
      <c r="G82" s="152"/>
    </row>
    <row r="84" spans="1:7" ht="16.2">
      <c r="A84" s="657" t="s">
        <v>2375</v>
      </c>
      <c r="B84" s="658"/>
      <c r="C84" s="658"/>
      <c r="D84" s="669"/>
      <c r="E84" s="658"/>
      <c r="F84" s="152"/>
      <c r="G84" s="152"/>
    </row>
    <row r="85" spans="1:7">
      <c r="A85" s="652" t="s">
        <v>532</v>
      </c>
      <c r="B85" s="647" t="s">
        <v>2355</v>
      </c>
      <c r="C85" s="647" t="s">
        <v>2123</v>
      </c>
      <c r="D85" s="647" t="s">
        <v>994</v>
      </c>
      <c r="E85" s="647" t="s">
        <v>2361</v>
      </c>
      <c r="F85" s="647" t="s">
        <v>2362</v>
      </c>
      <c r="G85" s="652" t="s">
        <v>2357</v>
      </c>
    </row>
    <row r="86" spans="1:7">
      <c r="A86" s="666">
        <v>45017</v>
      </c>
      <c r="B86" s="504">
        <v>700000</v>
      </c>
    </row>
    <row r="87" spans="1:7">
      <c r="A87" s="666">
        <v>45108</v>
      </c>
      <c r="B87" s="504">
        <v>700000</v>
      </c>
    </row>
    <row r="88" spans="1:7">
      <c r="A88" s="666">
        <v>45200</v>
      </c>
      <c r="B88" s="504">
        <v>700000</v>
      </c>
    </row>
    <row r="89" spans="1:7">
      <c r="A89" s="666">
        <v>45292</v>
      </c>
      <c r="B89" s="504">
        <v>700000</v>
      </c>
    </row>
    <row r="90" spans="1:7">
      <c r="A90" s="666"/>
      <c r="B90" s="504">
        <f>SUM(B86:B89)</f>
        <v>2800000</v>
      </c>
    </row>
    <row r="91" spans="1:7">
      <c r="A91" s="666"/>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427"/>
  <sheetViews>
    <sheetView workbookViewId="0">
      <pane ySplit="3" topLeftCell="A421" activePane="bottomLeft" state="frozen"/>
      <selection activeCell="H46" sqref="H46"/>
      <selection pane="bottomLeft" activeCell="H46" sqref="H46"/>
    </sheetView>
  </sheetViews>
  <sheetFormatPr defaultRowHeight="14.4"/>
  <cols>
    <col min="1" max="1" width="18.109375" bestFit="1" customWidth="1"/>
    <col min="2" max="2" width="41.6640625" bestFit="1" customWidth="1"/>
    <col min="3" max="3" width="12.5546875" customWidth="1"/>
    <col min="4" max="5" width="11.5546875" customWidth="1"/>
    <col min="6" max="6" width="12.5546875" bestFit="1" customWidth="1"/>
  </cols>
  <sheetData>
    <row r="1" spans="1:8">
      <c r="A1" s="151" t="s">
        <v>785</v>
      </c>
    </row>
    <row r="2" spans="1:8">
      <c r="A2" s="2279" t="s">
        <v>2295</v>
      </c>
      <c r="B2" s="2279"/>
      <c r="C2" s="2279"/>
      <c r="D2" s="2279"/>
      <c r="E2" s="2279"/>
      <c r="F2" s="2279"/>
      <c r="G2" s="2279"/>
    </row>
    <row r="3" spans="1:8" ht="43.2">
      <c r="A3" s="542" t="s">
        <v>2297</v>
      </c>
      <c r="B3" s="542" t="s">
        <v>2296</v>
      </c>
      <c r="C3" s="543" t="s">
        <v>2294</v>
      </c>
      <c r="D3" s="542" t="s">
        <v>1214</v>
      </c>
      <c r="E3" s="542" t="s">
        <v>1162</v>
      </c>
      <c r="F3" s="543" t="s">
        <v>2298</v>
      </c>
      <c r="G3" s="637" t="s">
        <v>2255</v>
      </c>
    </row>
    <row r="4" spans="1:8">
      <c r="A4" s="540" t="s">
        <v>1355</v>
      </c>
      <c r="B4" s="152" t="s">
        <v>1307</v>
      </c>
      <c r="C4" s="152">
        <v>154400</v>
      </c>
      <c r="D4" s="152">
        <v>169578</v>
      </c>
      <c r="E4" s="152">
        <v>0</v>
      </c>
      <c r="F4" s="152">
        <v>323978</v>
      </c>
      <c r="G4" s="563">
        <f t="shared" ref="G4:G67" si="0">+F4/$F$427</f>
        <v>0.12033659390884627</v>
      </c>
      <c r="H4" s="563">
        <f>+C4/C427</f>
        <v>5.7349480827481696E-2</v>
      </c>
    </row>
    <row r="5" spans="1:8">
      <c r="A5" s="540" t="s">
        <v>1306</v>
      </c>
      <c r="B5" s="152" t="s">
        <v>1307</v>
      </c>
      <c r="C5" s="152">
        <v>13005</v>
      </c>
      <c r="D5" s="152"/>
      <c r="E5" s="152">
        <f t="shared" ref="E5:E33" si="1">C5-F5</f>
        <v>0</v>
      </c>
      <c r="F5" s="152">
        <v>13005</v>
      </c>
      <c r="G5" s="563">
        <f t="shared" si="0"/>
        <v>4.8305051694391152E-3</v>
      </c>
    </row>
    <row r="6" spans="1:8">
      <c r="A6" s="540" t="s">
        <v>1331</v>
      </c>
      <c r="B6" s="152" t="s">
        <v>1307</v>
      </c>
      <c r="C6" s="152">
        <v>75</v>
      </c>
      <c r="D6" s="152"/>
      <c r="E6" s="152">
        <f t="shared" si="1"/>
        <v>0</v>
      </c>
      <c r="F6" s="152">
        <v>75</v>
      </c>
      <c r="G6" s="563">
        <f t="shared" si="0"/>
        <v>2.7857584598841494E-5</v>
      </c>
    </row>
    <row r="7" spans="1:8">
      <c r="A7" s="540" t="s">
        <v>1276</v>
      </c>
      <c r="B7" s="152" t="s">
        <v>1277</v>
      </c>
      <c r="C7" s="152">
        <v>267360</v>
      </c>
      <c r="D7" s="152"/>
      <c r="E7" s="152">
        <f t="shared" si="1"/>
        <v>0</v>
      </c>
      <c r="F7" s="152">
        <v>267360</v>
      </c>
      <c r="G7" s="563">
        <f t="shared" si="0"/>
        <v>9.9306717577950163E-2</v>
      </c>
    </row>
    <row r="8" spans="1:8">
      <c r="A8" s="540" t="s">
        <v>1270</v>
      </c>
      <c r="B8" s="152" t="s">
        <v>1271</v>
      </c>
      <c r="C8" s="152">
        <v>241995</v>
      </c>
      <c r="D8" s="152"/>
      <c r="E8" s="152">
        <f t="shared" si="1"/>
        <v>0</v>
      </c>
      <c r="F8" s="152">
        <v>241995</v>
      </c>
      <c r="G8" s="563">
        <f t="shared" si="0"/>
        <v>8.9885282466621974E-2</v>
      </c>
    </row>
    <row r="9" spans="1:8">
      <c r="A9" s="540" t="s">
        <v>1596</v>
      </c>
      <c r="B9" s="152" t="s">
        <v>1597</v>
      </c>
      <c r="C9" s="152">
        <v>224905</v>
      </c>
      <c r="D9" s="152"/>
      <c r="E9" s="152">
        <f t="shared" si="1"/>
        <v>0</v>
      </c>
      <c r="F9" s="152">
        <v>224905</v>
      </c>
      <c r="G9" s="563">
        <f t="shared" si="0"/>
        <v>8.3537467522699291E-2</v>
      </c>
    </row>
    <row r="10" spans="1:8">
      <c r="A10" s="540" t="s">
        <v>1563</v>
      </c>
      <c r="B10" s="152" t="s">
        <v>1564</v>
      </c>
      <c r="C10" s="152">
        <v>3500</v>
      </c>
      <c r="D10" s="152"/>
      <c r="E10" s="152">
        <f t="shared" si="1"/>
        <v>0</v>
      </c>
      <c r="F10" s="152">
        <v>3500</v>
      </c>
      <c r="G10" s="563">
        <f t="shared" si="0"/>
        <v>1.300020614612603E-3</v>
      </c>
    </row>
    <row r="11" spans="1:8">
      <c r="A11" s="540" t="s">
        <v>1272</v>
      </c>
      <c r="B11" s="152" t="s">
        <v>1273</v>
      </c>
      <c r="C11" s="152">
        <v>186295</v>
      </c>
      <c r="D11" s="152"/>
      <c r="E11" s="152">
        <f t="shared" si="1"/>
        <v>0</v>
      </c>
      <c r="F11" s="152">
        <v>186295</v>
      </c>
      <c r="G11" s="563">
        <f t="shared" si="0"/>
        <v>6.9196382971215692E-2</v>
      </c>
    </row>
    <row r="12" spans="1:8">
      <c r="A12" s="540" t="s">
        <v>1598</v>
      </c>
      <c r="B12" s="152" t="s">
        <v>1599</v>
      </c>
      <c r="C12" s="152">
        <v>150945</v>
      </c>
      <c r="D12" s="152"/>
      <c r="E12" s="152">
        <f t="shared" si="1"/>
        <v>0</v>
      </c>
      <c r="F12" s="152">
        <v>150945</v>
      </c>
      <c r="G12" s="563">
        <f t="shared" si="0"/>
        <v>5.6066174763628393E-2</v>
      </c>
    </row>
    <row r="13" spans="1:8">
      <c r="A13" s="540" t="s">
        <v>1266</v>
      </c>
      <c r="B13" s="152" t="s">
        <v>1267</v>
      </c>
      <c r="C13" s="152">
        <v>112805</v>
      </c>
      <c r="D13" s="152"/>
      <c r="E13" s="152">
        <f t="shared" si="1"/>
        <v>0</v>
      </c>
      <c r="F13" s="152">
        <v>112805</v>
      </c>
      <c r="G13" s="563">
        <f t="shared" si="0"/>
        <v>4.1899664408964199E-2</v>
      </c>
    </row>
    <row r="14" spans="1:8">
      <c r="A14" s="540" t="s">
        <v>1600</v>
      </c>
      <c r="B14" s="152" t="s">
        <v>1601</v>
      </c>
      <c r="C14" s="152">
        <v>111800</v>
      </c>
      <c r="D14" s="152"/>
      <c r="E14" s="152">
        <f t="shared" si="1"/>
        <v>0</v>
      </c>
      <c r="F14" s="152">
        <v>111800</v>
      </c>
      <c r="G14" s="563">
        <f t="shared" si="0"/>
        <v>4.1526372775339722E-2</v>
      </c>
    </row>
    <row r="15" spans="1:8">
      <c r="A15" s="540" t="s">
        <v>1363</v>
      </c>
      <c r="B15" s="152" t="s">
        <v>1364</v>
      </c>
      <c r="C15" s="152">
        <v>77900</v>
      </c>
      <c r="D15" s="152"/>
      <c r="E15" s="152">
        <f t="shared" si="1"/>
        <v>0</v>
      </c>
      <c r="F15" s="152">
        <v>77900</v>
      </c>
      <c r="G15" s="563">
        <f t="shared" si="0"/>
        <v>2.8934744536663368E-2</v>
      </c>
    </row>
    <row r="16" spans="1:8">
      <c r="A16" s="540" t="s">
        <v>1353</v>
      </c>
      <c r="B16" s="152" t="s">
        <v>1354</v>
      </c>
      <c r="C16" s="152">
        <v>62790</v>
      </c>
      <c r="D16" s="152"/>
      <c r="E16" s="152">
        <f t="shared" si="1"/>
        <v>0</v>
      </c>
      <c r="F16" s="152">
        <v>62790</v>
      </c>
      <c r="G16" s="563">
        <f t="shared" si="0"/>
        <v>2.3322369826150099E-2</v>
      </c>
    </row>
    <row r="17" spans="1:7">
      <c r="A17" s="540" t="s">
        <v>1339</v>
      </c>
      <c r="B17" s="152" t="s">
        <v>1340</v>
      </c>
      <c r="C17" s="152">
        <v>47460</v>
      </c>
      <c r="D17" s="152"/>
      <c r="E17" s="152">
        <f t="shared" si="1"/>
        <v>0</v>
      </c>
      <c r="F17" s="152">
        <v>47460</v>
      </c>
      <c r="G17" s="563">
        <f t="shared" si="0"/>
        <v>1.7628279534146897E-2</v>
      </c>
    </row>
    <row r="18" spans="1:7">
      <c r="A18" s="540" t="s">
        <v>1264</v>
      </c>
      <c r="B18" s="152" t="s">
        <v>1265</v>
      </c>
      <c r="C18" s="152">
        <v>38815</v>
      </c>
      <c r="D18" s="152"/>
      <c r="E18" s="152">
        <f t="shared" si="1"/>
        <v>0</v>
      </c>
      <c r="F18" s="152">
        <v>38815</v>
      </c>
      <c r="G18" s="563">
        <f t="shared" si="0"/>
        <v>1.4417228616053769E-2</v>
      </c>
    </row>
    <row r="19" spans="1:7">
      <c r="A19" s="540" t="s">
        <v>1375</v>
      </c>
      <c r="B19" s="152" t="s">
        <v>1376</v>
      </c>
      <c r="C19" s="152">
        <v>35770</v>
      </c>
      <c r="D19" s="152"/>
      <c r="E19" s="152">
        <f t="shared" si="1"/>
        <v>0</v>
      </c>
      <c r="F19" s="152">
        <v>35770</v>
      </c>
      <c r="G19" s="563">
        <f t="shared" si="0"/>
        <v>1.3286210681340805E-2</v>
      </c>
    </row>
    <row r="20" spans="1:7">
      <c r="A20" s="540" t="s">
        <v>1620</v>
      </c>
      <c r="B20" s="152" t="s">
        <v>1621</v>
      </c>
      <c r="C20" s="152">
        <v>35000</v>
      </c>
      <c r="D20" s="152"/>
      <c r="E20" s="152">
        <f t="shared" si="1"/>
        <v>0</v>
      </c>
      <c r="F20" s="152">
        <v>35000</v>
      </c>
      <c r="G20" s="563">
        <f t="shared" si="0"/>
        <v>1.3000206146126032E-2</v>
      </c>
    </row>
    <row r="21" spans="1:7">
      <c r="A21" s="540" t="s">
        <v>1351</v>
      </c>
      <c r="B21" s="152" t="s">
        <v>1352</v>
      </c>
      <c r="C21" s="152">
        <v>33235</v>
      </c>
      <c r="D21" s="152"/>
      <c r="E21" s="152">
        <f t="shared" si="1"/>
        <v>0</v>
      </c>
      <c r="F21" s="152">
        <v>33235</v>
      </c>
      <c r="G21" s="563">
        <f t="shared" si="0"/>
        <v>1.2344624321899962E-2</v>
      </c>
    </row>
    <row r="22" spans="1:7">
      <c r="A22" s="540" t="s">
        <v>1377</v>
      </c>
      <c r="B22" s="152" t="s">
        <v>1378</v>
      </c>
      <c r="C22" s="152">
        <v>29095</v>
      </c>
      <c r="D22" s="152"/>
      <c r="E22" s="152">
        <f t="shared" si="1"/>
        <v>0</v>
      </c>
      <c r="F22" s="152">
        <v>29095</v>
      </c>
      <c r="G22" s="563">
        <f t="shared" si="0"/>
        <v>1.0806885652043911E-2</v>
      </c>
    </row>
    <row r="23" spans="1:7">
      <c r="A23" s="540" t="s">
        <v>1371</v>
      </c>
      <c r="B23" s="152" t="s">
        <v>1372</v>
      </c>
      <c r="C23" s="152">
        <v>28462</v>
      </c>
      <c r="D23" s="152"/>
      <c r="E23" s="152">
        <f t="shared" si="1"/>
        <v>0</v>
      </c>
      <c r="F23" s="152">
        <v>28462</v>
      </c>
      <c r="G23" s="563">
        <f t="shared" si="0"/>
        <v>1.0571767638029689E-2</v>
      </c>
    </row>
    <row r="24" spans="1:7">
      <c r="A24" s="540" t="s">
        <v>1373</v>
      </c>
      <c r="B24" s="152" t="s">
        <v>1374</v>
      </c>
      <c r="C24" s="152">
        <v>25265</v>
      </c>
      <c r="D24" s="152"/>
      <c r="E24" s="152">
        <f t="shared" si="1"/>
        <v>0</v>
      </c>
      <c r="F24" s="152">
        <v>25265</v>
      </c>
      <c r="G24" s="563">
        <f t="shared" si="0"/>
        <v>9.3842916651964061E-3</v>
      </c>
    </row>
    <row r="25" spans="1:7">
      <c r="A25" s="540" t="s">
        <v>1298</v>
      </c>
      <c r="B25" s="152" t="s">
        <v>1299</v>
      </c>
      <c r="C25" s="152">
        <v>19735</v>
      </c>
      <c r="D25" s="152"/>
      <c r="E25" s="152">
        <f t="shared" si="1"/>
        <v>0</v>
      </c>
      <c r="F25" s="152">
        <v>19735</v>
      </c>
      <c r="G25" s="563">
        <f t="shared" si="0"/>
        <v>7.3302590941084923E-3</v>
      </c>
    </row>
    <row r="26" spans="1:7">
      <c r="A26" s="540" t="s">
        <v>1651</v>
      </c>
      <c r="B26" s="152" t="s">
        <v>1652</v>
      </c>
      <c r="C26" s="152">
        <v>17700</v>
      </c>
      <c r="D26" s="152"/>
      <c r="E26" s="152">
        <f t="shared" si="1"/>
        <v>0</v>
      </c>
      <c r="F26" s="152">
        <v>17700</v>
      </c>
      <c r="G26" s="563">
        <f t="shared" si="0"/>
        <v>6.5743899653265929E-3</v>
      </c>
    </row>
    <row r="27" spans="1:7">
      <c r="A27" s="540" t="s">
        <v>1612</v>
      </c>
      <c r="B27" s="152" t="s">
        <v>1613</v>
      </c>
      <c r="C27" s="152">
        <v>14200</v>
      </c>
      <c r="D27" s="152"/>
      <c r="E27" s="152">
        <f t="shared" si="1"/>
        <v>0</v>
      </c>
      <c r="F27" s="152">
        <v>14200</v>
      </c>
      <c r="G27" s="563">
        <f t="shared" si="0"/>
        <v>5.2743693507139901E-3</v>
      </c>
    </row>
    <row r="28" spans="1:7">
      <c r="A28" s="540" t="s">
        <v>1296</v>
      </c>
      <c r="B28" s="152" t="s">
        <v>1297</v>
      </c>
      <c r="C28" s="152">
        <v>13350</v>
      </c>
      <c r="D28" s="152"/>
      <c r="E28" s="152">
        <f t="shared" si="1"/>
        <v>0</v>
      </c>
      <c r="F28" s="152">
        <v>13350</v>
      </c>
      <c r="G28" s="563">
        <f t="shared" si="0"/>
        <v>4.9586500585937863E-3</v>
      </c>
    </row>
    <row r="29" spans="1:7">
      <c r="A29" s="540" t="s">
        <v>1423</v>
      </c>
      <c r="B29" s="152" t="s">
        <v>1422</v>
      </c>
      <c r="C29" s="152">
        <v>12600</v>
      </c>
      <c r="D29" s="152"/>
      <c r="E29" s="152">
        <f t="shared" si="1"/>
        <v>0</v>
      </c>
      <c r="F29" s="152">
        <v>12600</v>
      </c>
      <c r="G29" s="563">
        <f t="shared" si="0"/>
        <v>4.680074212605371E-3</v>
      </c>
    </row>
    <row r="30" spans="1:7">
      <c r="A30" s="540" t="s">
        <v>1294</v>
      </c>
      <c r="B30" s="152" t="s">
        <v>1295</v>
      </c>
      <c r="C30" s="152">
        <v>11855</v>
      </c>
      <c r="D30" s="152"/>
      <c r="E30" s="152">
        <f t="shared" si="1"/>
        <v>0</v>
      </c>
      <c r="F30" s="152">
        <v>11855</v>
      </c>
      <c r="G30" s="563">
        <f t="shared" si="0"/>
        <v>4.4033555389235458E-3</v>
      </c>
    </row>
    <row r="31" spans="1:7">
      <c r="A31" s="540" t="s">
        <v>1290</v>
      </c>
      <c r="B31" s="152" t="s">
        <v>1291</v>
      </c>
      <c r="C31" s="152">
        <v>11150</v>
      </c>
      <c r="D31" s="152"/>
      <c r="E31" s="152">
        <f t="shared" si="1"/>
        <v>0</v>
      </c>
      <c r="F31" s="152">
        <v>11150</v>
      </c>
      <c r="G31" s="563">
        <f t="shared" si="0"/>
        <v>4.1414942436944361E-3</v>
      </c>
    </row>
    <row r="32" spans="1:7">
      <c r="A32" s="540" t="s">
        <v>1302</v>
      </c>
      <c r="B32" s="152" t="s">
        <v>1303</v>
      </c>
      <c r="C32" s="152">
        <v>10700</v>
      </c>
      <c r="D32" s="152"/>
      <c r="E32" s="152">
        <f t="shared" si="1"/>
        <v>0</v>
      </c>
      <c r="F32" s="152">
        <v>10700</v>
      </c>
      <c r="G32" s="563">
        <f t="shared" si="0"/>
        <v>3.9743487361013864E-3</v>
      </c>
    </row>
    <row r="33" spans="1:7">
      <c r="A33" s="540" t="s">
        <v>1356</v>
      </c>
      <c r="B33" s="152" t="s">
        <v>1305</v>
      </c>
      <c r="C33" s="152">
        <v>10500</v>
      </c>
      <c r="D33" s="152"/>
      <c r="E33" s="152">
        <f t="shared" si="1"/>
        <v>0</v>
      </c>
      <c r="F33" s="152">
        <v>10500</v>
      </c>
      <c r="G33" s="563">
        <f t="shared" si="0"/>
        <v>3.9000618438378093E-3</v>
      </c>
    </row>
    <row r="34" spans="1:7">
      <c r="A34" s="540" t="s">
        <v>2272</v>
      </c>
      <c r="B34" s="152" t="s">
        <v>2271</v>
      </c>
      <c r="C34" s="152">
        <v>0</v>
      </c>
      <c r="D34" s="152">
        <v>10000</v>
      </c>
      <c r="E34" s="152">
        <v>0</v>
      </c>
      <c r="F34" s="152">
        <v>10000</v>
      </c>
      <c r="G34" s="563">
        <f t="shared" si="0"/>
        <v>3.7143446131788663E-3</v>
      </c>
    </row>
    <row r="35" spans="1:7">
      <c r="A35" s="540" t="s">
        <v>1618</v>
      </c>
      <c r="B35" s="152" t="s">
        <v>1619</v>
      </c>
      <c r="C35" s="152">
        <v>10000</v>
      </c>
      <c r="D35" s="152"/>
      <c r="E35" s="152">
        <f t="shared" ref="E35:E50" si="2">C35-F35</f>
        <v>0</v>
      </c>
      <c r="F35" s="152">
        <v>10000</v>
      </c>
      <c r="G35" s="563">
        <f t="shared" si="0"/>
        <v>3.7143446131788663E-3</v>
      </c>
    </row>
    <row r="36" spans="1:7">
      <c r="A36" s="540" t="s">
        <v>1645</v>
      </c>
      <c r="B36" s="152" t="s">
        <v>1646</v>
      </c>
      <c r="C36" s="152">
        <v>10000</v>
      </c>
      <c r="D36" s="152"/>
      <c r="E36" s="152">
        <f t="shared" si="2"/>
        <v>0</v>
      </c>
      <c r="F36" s="152">
        <v>10000</v>
      </c>
      <c r="G36" s="563">
        <f t="shared" si="0"/>
        <v>3.7143446131788663E-3</v>
      </c>
    </row>
    <row r="37" spans="1:7">
      <c r="A37" s="540" t="s">
        <v>1292</v>
      </c>
      <c r="B37" s="152" t="s">
        <v>1293</v>
      </c>
      <c r="C37" s="152">
        <v>9200</v>
      </c>
      <c r="D37" s="152"/>
      <c r="E37" s="152">
        <f t="shared" si="2"/>
        <v>0</v>
      </c>
      <c r="F37" s="152">
        <v>9200</v>
      </c>
      <c r="G37" s="563">
        <f t="shared" si="0"/>
        <v>3.4171970441245567E-3</v>
      </c>
    </row>
    <row r="38" spans="1:7">
      <c r="A38" s="540" t="s">
        <v>1641</v>
      </c>
      <c r="B38" s="152" t="s">
        <v>1642</v>
      </c>
      <c r="C38" s="152">
        <v>7705</v>
      </c>
      <c r="D38" s="152"/>
      <c r="E38" s="152">
        <f t="shared" si="2"/>
        <v>0</v>
      </c>
      <c r="F38" s="152">
        <v>7705</v>
      </c>
      <c r="G38" s="563">
        <f t="shared" si="0"/>
        <v>2.8619025244543163E-3</v>
      </c>
    </row>
    <row r="39" spans="1:7">
      <c r="A39" s="540" t="s">
        <v>2049</v>
      </c>
      <c r="B39" s="152" t="s">
        <v>2050</v>
      </c>
      <c r="C39" s="152">
        <v>7705</v>
      </c>
      <c r="D39" s="152"/>
      <c r="E39" s="152">
        <f t="shared" si="2"/>
        <v>0</v>
      </c>
      <c r="F39" s="152">
        <v>7705</v>
      </c>
      <c r="G39" s="563">
        <f t="shared" si="0"/>
        <v>2.8619025244543163E-3</v>
      </c>
    </row>
    <row r="40" spans="1:7">
      <c r="A40" s="540" t="s">
        <v>1888</v>
      </c>
      <c r="B40" s="152" t="s">
        <v>1889</v>
      </c>
      <c r="C40" s="152">
        <v>7500</v>
      </c>
      <c r="D40" s="152"/>
      <c r="E40" s="152">
        <f t="shared" si="2"/>
        <v>0</v>
      </c>
      <c r="F40" s="152">
        <v>7500</v>
      </c>
      <c r="G40" s="563">
        <f t="shared" si="0"/>
        <v>2.7857584598841496E-3</v>
      </c>
    </row>
    <row r="41" spans="1:7">
      <c r="A41" s="540" t="s">
        <v>1479</v>
      </c>
      <c r="B41" s="152" t="s">
        <v>1480</v>
      </c>
      <c r="C41" s="152">
        <v>6900</v>
      </c>
      <c r="D41" s="152"/>
      <c r="E41" s="152">
        <f t="shared" si="2"/>
        <v>0</v>
      </c>
      <c r="F41" s="152">
        <v>6900</v>
      </c>
      <c r="G41" s="563">
        <f t="shared" si="0"/>
        <v>2.5628977830934175E-3</v>
      </c>
    </row>
    <row r="42" spans="1:7">
      <c r="A42" s="540" t="s">
        <v>1660</v>
      </c>
      <c r="B42" s="152" t="s">
        <v>1661</v>
      </c>
      <c r="C42" s="152">
        <v>6800</v>
      </c>
      <c r="D42" s="152"/>
      <c r="E42" s="152">
        <f t="shared" si="2"/>
        <v>0</v>
      </c>
      <c r="F42" s="152">
        <v>6800</v>
      </c>
      <c r="G42" s="563">
        <f t="shared" si="0"/>
        <v>2.525754336961629E-3</v>
      </c>
    </row>
    <row r="43" spans="1:7">
      <c r="A43" s="540" t="s">
        <v>1732</v>
      </c>
      <c r="B43" s="152" t="s">
        <v>1733</v>
      </c>
      <c r="C43" s="152">
        <v>6700</v>
      </c>
      <c r="D43" s="152"/>
      <c r="E43" s="152">
        <f t="shared" si="2"/>
        <v>0</v>
      </c>
      <c r="F43" s="152">
        <v>6700</v>
      </c>
      <c r="G43" s="563">
        <f t="shared" si="0"/>
        <v>2.4886108908298405E-3</v>
      </c>
    </row>
    <row r="44" spans="1:7">
      <c r="A44" s="540" t="s">
        <v>1604</v>
      </c>
      <c r="B44" s="152" t="s">
        <v>1605</v>
      </c>
      <c r="C44" s="152">
        <v>6000</v>
      </c>
      <c r="D44" s="152"/>
      <c r="E44" s="152">
        <f t="shared" si="2"/>
        <v>0</v>
      </c>
      <c r="F44" s="152">
        <v>6000</v>
      </c>
      <c r="G44" s="563">
        <f t="shared" si="0"/>
        <v>2.2286067679073195E-3</v>
      </c>
    </row>
    <row r="45" spans="1:7">
      <c r="A45" s="540" t="s">
        <v>1658</v>
      </c>
      <c r="B45" s="152" t="s">
        <v>1659</v>
      </c>
      <c r="C45" s="152">
        <v>5750</v>
      </c>
      <c r="D45" s="152"/>
      <c r="E45" s="152">
        <f t="shared" si="2"/>
        <v>0</v>
      </c>
      <c r="F45" s="152">
        <v>5750</v>
      </c>
      <c r="G45" s="563">
        <f t="shared" si="0"/>
        <v>2.1357481525778482E-3</v>
      </c>
    </row>
    <row r="46" spans="1:7">
      <c r="A46" s="540" t="s">
        <v>1462</v>
      </c>
      <c r="B46" s="152" t="s">
        <v>1463</v>
      </c>
      <c r="C46" s="152">
        <v>5000</v>
      </c>
      <c r="D46" s="152"/>
      <c r="E46" s="152">
        <f t="shared" si="2"/>
        <v>0</v>
      </c>
      <c r="F46" s="152">
        <v>5000</v>
      </c>
      <c r="G46" s="563">
        <f t="shared" si="0"/>
        <v>1.8571723065894331E-3</v>
      </c>
    </row>
    <row r="47" spans="1:7">
      <c r="A47" s="540" t="s">
        <v>1594</v>
      </c>
      <c r="B47" s="152" t="s">
        <v>1595</v>
      </c>
      <c r="C47" s="152">
        <v>5000</v>
      </c>
      <c r="D47" s="152"/>
      <c r="E47" s="152">
        <f t="shared" si="2"/>
        <v>0</v>
      </c>
      <c r="F47" s="152">
        <v>5000</v>
      </c>
      <c r="G47" s="563">
        <f t="shared" si="0"/>
        <v>1.8571723065894331E-3</v>
      </c>
    </row>
    <row r="48" spans="1:7">
      <c r="A48" s="540" t="s">
        <v>1622</v>
      </c>
      <c r="B48" s="152" t="s">
        <v>1623</v>
      </c>
      <c r="C48" s="152">
        <v>5000</v>
      </c>
      <c r="D48" s="152"/>
      <c r="E48" s="152">
        <f t="shared" si="2"/>
        <v>0</v>
      </c>
      <c r="F48" s="152">
        <v>5000</v>
      </c>
      <c r="G48" s="563">
        <f t="shared" si="0"/>
        <v>1.8571723065894331E-3</v>
      </c>
    </row>
    <row r="49" spans="1:7">
      <c r="A49" s="540" t="s">
        <v>1347</v>
      </c>
      <c r="B49" s="152" t="s">
        <v>1348</v>
      </c>
      <c r="C49" s="152">
        <v>4500</v>
      </c>
      <c r="D49" s="152"/>
      <c r="E49" s="152">
        <f t="shared" si="2"/>
        <v>0</v>
      </c>
      <c r="F49" s="152">
        <v>4500</v>
      </c>
      <c r="G49" s="563">
        <f t="shared" si="0"/>
        <v>1.6714550759304898E-3</v>
      </c>
    </row>
    <row r="50" spans="1:7">
      <c r="A50" s="540" t="s">
        <v>1300</v>
      </c>
      <c r="B50" s="152" t="s">
        <v>1301</v>
      </c>
      <c r="C50" s="152">
        <v>12200</v>
      </c>
      <c r="D50" s="152"/>
      <c r="E50" s="152">
        <f t="shared" si="2"/>
        <v>8000</v>
      </c>
      <c r="F50" s="152">
        <v>4200</v>
      </c>
      <c r="G50" s="563">
        <f t="shared" si="0"/>
        <v>1.5600247375351238E-3</v>
      </c>
    </row>
    <row r="51" spans="1:7">
      <c r="A51" s="540" t="s">
        <v>2273</v>
      </c>
      <c r="B51" s="152" t="s">
        <v>2274</v>
      </c>
      <c r="C51" s="152">
        <v>0</v>
      </c>
      <c r="D51" s="152">
        <v>4200</v>
      </c>
      <c r="E51" s="152">
        <v>0</v>
      </c>
      <c r="F51" s="152">
        <v>4200</v>
      </c>
      <c r="G51" s="563">
        <f t="shared" si="0"/>
        <v>1.5600247375351238E-3</v>
      </c>
    </row>
    <row r="52" spans="1:7">
      <c r="A52" s="540" t="s">
        <v>2277</v>
      </c>
      <c r="B52" s="152" t="s">
        <v>2278</v>
      </c>
      <c r="C52" s="152">
        <v>0</v>
      </c>
      <c r="D52" s="152">
        <v>4200</v>
      </c>
      <c r="E52" s="152">
        <v>0</v>
      </c>
      <c r="F52" s="152">
        <v>4200</v>
      </c>
      <c r="G52" s="563">
        <f t="shared" si="0"/>
        <v>1.5600247375351238E-3</v>
      </c>
    </row>
    <row r="53" spans="1:7">
      <c r="A53" s="540" t="s">
        <v>1391</v>
      </c>
      <c r="B53" s="152" t="s">
        <v>1392</v>
      </c>
      <c r="C53" s="152">
        <v>4200</v>
      </c>
      <c r="D53" s="152"/>
      <c r="E53" s="152">
        <f>C53-F53</f>
        <v>0</v>
      </c>
      <c r="F53" s="152">
        <v>4200</v>
      </c>
      <c r="G53" s="563">
        <f t="shared" si="0"/>
        <v>1.5600247375351238E-3</v>
      </c>
    </row>
    <row r="54" spans="1:7">
      <c r="A54" s="540" t="s">
        <v>2283</v>
      </c>
      <c r="B54" s="152" t="s">
        <v>2284</v>
      </c>
      <c r="C54" s="152">
        <v>0</v>
      </c>
      <c r="D54" s="152">
        <v>4200</v>
      </c>
      <c r="E54" s="152">
        <v>0</v>
      </c>
      <c r="F54" s="152">
        <v>4200</v>
      </c>
      <c r="G54" s="563">
        <f t="shared" si="0"/>
        <v>1.5600247375351238E-3</v>
      </c>
    </row>
    <row r="55" spans="1:7">
      <c r="A55" s="540" t="s">
        <v>1553</v>
      </c>
      <c r="B55" s="152" t="s">
        <v>1554</v>
      </c>
      <c r="C55" s="152">
        <v>4200</v>
      </c>
      <c r="D55" s="152"/>
      <c r="E55" s="152">
        <f t="shared" ref="E55:E97" si="3">C55-F55</f>
        <v>0</v>
      </c>
      <c r="F55" s="152">
        <v>4200</v>
      </c>
      <c r="G55" s="563">
        <f t="shared" si="0"/>
        <v>1.5600247375351238E-3</v>
      </c>
    </row>
    <row r="56" spans="1:7">
      <c r="A56" s="540" t="s">
        <v>1581</v>
      </c>
      <c r="B56" s="152" t="s">
        <v>1582</v>
      </c>
      <c r="C56" s="152">
        <v>4200</v>
      </c>
      <c r="D56" s="152"/>
      <c r="E56" s="152">
        <f t="shared" si="3"/>
        <v>0</v>
      </c>
      <c r="F56" s="152">
        <v>4200</v>
      </c>
      <c r="G56" s="563">
        <f t="shared" si="0"/>
        <v>1.5600247375351238E-3</v>
      </c>
    </row>
    <row r="57" spans="1:7">
      <c r="A57" s="540" t="s">
        <v>1665</v>
      </c>
      <c r="B57" s="152" t="s">
        <v>1666</v>
      </c>
      <c r="C57" s="152">
        <v>4200</v>
      </c>
      <c r="D57" s="152"/>
      <c r="E57" s="152">
        <f t="shared" si="3"/>
        <v>0</v>
      </c>
      <c r="F57" s="152">
        <v>4200</v>
      </c>
      <c r="G57" s="563">
        <f t="shared" si="0"/>
        <v>1.5600247375351238E-3</v>
      </c>
    </row>
    <row r="58" spans="1:7">
      <c r="A58" s="540" t="s">
        <v>1744</v>
      </c>
      <c r="B58" s="152" t="s">
        <v>1745</v>
      </c>
      <c r="C58" s="152">
        <v>4200</v>
      </c>
      <c r="D58" s="152"/>
      <c r="E58" s="152">
        <f t="shared" si="3"/>
        <v>0</v>
      </c>
      <c r="F58" s="152">
        <v>4200</v>
      </c>
      <c r="G58" s="563">
        <f t="shared" si="0"/>
        <v>1.5600247375351238E-3</v>
      </c>
    </row>
    <row r="59" spans="1:7">
      <c r="A59" s="540" t="s">
        <v>1997</v>
      </c>
      <c r="B59" s="152" t="s">
        <v>1998</v>
      </c>
      <c r="C59" s="152">
        <v>4200</v>
      </c>
      <c r="D59" s="152"/>
      <c r="E59" s="152">
        <f t="shared" si="3"/>
        <v>0</v>
      </c>
      <c r="F59" s="152">
        <v>4200</v>
      </c>
      <c r="G59" s="563">
        <f t="shared" si="0"/>
        <v>1.5600247375351238E-3</v>
      </c>
    </row>
    <row r="60" spans="1:7">
      <c r="A60" s="540" t="s">
        <v>1746</v>
      </c>
      <c r="B60" s="152" t="s">
        <v>1747</v>
      </c>
      <c r="C60" s="152">
        <v>3795</v>
      </c>
      <c r="D60" s="152"/>
      <c r="E60" s="152">
        <f t="shared" si="3"/>
        <v>0</v>
      </c>
      <c r="F60" s="152">
        <v>3795</v>
      </c>
      <c r="G60" s="563">
        <f t="shared" si="0"/>
        <v>1.4095937807013796E-3</v>
      </c>
    </row>
    <row r="61" spans="1:7">
      <c r="A61" s="540" t="s">
        <v>1268</v>
      </c>
      <c r="B61" s="152" t="s">
        <v>1269</v>
      </c>
      <c r="C61" s="152">
        <v>3600</v>
      </c>
      <c r="D61" s="152"/>
      <c r="E61" s="152">
        <f t="shared" si="3"/>
        <v>0</v>
      </c>
      <c r="F61" s="152">
        <v>3600</v>
      </c>
      <c r="G61" s="563">
        <f t="shared" si="0"/>
        <v>1.3371640607443918E-3</v>
      </c>
    </row>
    <row r="62" spans="1:7">
      <c r="A62" s="540" t="s">
        <v>1329</v>
      </c>
      <c r="B62" s="152" t="s">
        <v>1330</v>
      </c>
      <c r="C62" s="152">
        <v>3300</v>
      </c>
      <c r="D62" s="152"/>
      <c r="E62" s="152">
        <f t="shared" si="3"/>
        <v>0</v>
      </c>
      <c r="F62" s="152">
        <v>3300</v>
      </c>
      <c r="G62" s="563">
        <f t="shared" si="0"/>
        <v>1.2257337223490258E-3</v>
      </c>
    </row>
    <row r="63" spans="1:7">
      <c r="A63" s="540" t="s">
        <v>1341</v>
      </c>
      <c r="B63" s="152" t="s">
        <v>1342</v>
      </c>
      <c r="C63" s="152">
        <v>3300</v>
      </c>
      <c r="D63" s="152"/>
      <c r="E63" s="152">
        <f t="shared" si="3"/>
        <v>0</v>
      </c>
      <c r="F63" s="152">
        <v>3300</v>
      </c>
      <c r="G63" s="563">
        <f t="shared" si="0"/>
        <v>1.2257337223490258E-3</v>
      </c>
    </row>
    <row r="64" spans="1:7">
      <c r="A64" s="540" t="s">
        <v>1343</v>
      </c>
      <c r="B64" s="152" t="s">
        <v>1344</v>
      </c>
      <c r="C64" s="152">
        <v>3300</v>
      </c>
      <c r="D64" s="152"/>
      <c r="E64" s="152">
        <f t="shared" si="3"/>
        <v>0</v>
      </c>
      <c r="F64" s="152">
        <v>3300</v>
      </c>
      <c r="G64" s="563">
        <f t="shared" si="0"/>
        <v>1.2257337223490258E-3</v>
      </c>
    </row>
    <row r="65" spans="1:7">
      <c r="A65" s="540" t="s">
        <v>1349</v>
      </c>
      <c r="B65" s="152" t="s">
        <v>1350</v>
      </c>
      <c r="C65" s="152">
        <v>3300</v>
      </c>
      <c r="D65" s="152"/>
      <c r="E65" s="152">
        <f t="shared" si="3"/>
        <v>0</v>
      </c>
      <c r="F65" s="152">
        <v>3300</v>
      </c>
      <c r="G65" s="563">
        <f t="shared" si="0"/>
        <v>1.2257337223490258E-3</v>
      </c>
    </row>
    <row r="66" spans="1:7">
      <c r="A66" s="540" t="s">
        <v>1379</v>
      </c>
      <c r="B66" s="152" t="s">
        <v>1380</v>
      </c>
      <c r="C66" s="152">
        <v>3300</v>
      </c>
      <c r="D66" s="152"/>
      <c r="E66" s="152">
        <f t="shared" si="3"/>
        <v>0</v>
      </c>
      <c r="F66" s="152">
        <v>3300</v>
      </c>
      <c r="G66" s="563">
        <f t="shared" si="0"/>
        <v>1.2257337223490258E-3</v>
      </c>
    </row>
    <row r="67" spans="1:7">
      <c r="A67" s="540" t="s">
        <v>1631</v>
      </c>
      <c r="B67" s="152" t="s">
        <v>1632</v>
      </c>
      <c r="C67" s="152">
        <v>3300</v>
      </c>
      <c r="D67" s="152"/>
      <c r="E67" s="152">
        <f t="shared" si="3"/>
        <v>0</v>
      </c>
      <c r="F67" s="152">
        <v>3300</v>
      </c>
      <c r="G67" s="563">
        <f t="shared" si="0"/>
        <v>1.2257337223490258E-3</v>
      </c>
    </row>
    <row r="68" spans="1:7">
      <c r="A68" s="540" t="s">
        <v>1669</v>
      </c>
      <c r="B68" s="152" t="s">
        <v>1670</v>
      </c>
      <c r="C68" s="152">
        <v>3300</v>
      </c>
      <c r="D68" s="152"/>
      <c r="E68" s="152">
        <f t="shared" si="3"/>
        <v>0</v>
      </c>
      <c r="F68" s="152">
        <v>3300</v>
      </c>
      <c r="G68" s="563">
        <f t="shared" ref="G68:G131" si="4">+F68/$F$427</f>
        <v>1.2257337223490258E-3</v>
      </c>
    </row>
    <row r="69" spans="1:7">
      <c r="A69" s="540" t="s">
        <v>2037</v>
      </c>
      <c r="B69" s="152" t="s">
        <v>2038</v>
      </c>
      <c r="C69" s="152">
        <v>3300</v>
      </c>
      <c r="D69" s="152"/>
      <c r="E69" s="152">
        <f t="shared" si="3"/>
        <v>0</v>
      </c>
      <c r="F69" s="152">
        <v>3300</v>
      </c>
      <c r="G69" s="563">
        <f t="shared" si="4"/>
        <v>1.2257337223490258E-3</v>
      </c>
    </row>
    <row r="70" spans="1:7">
      <c r="A70" s="540" t="s">
        <v>1327</v>
      </c>
      <c r="B70" s="152" t="s">
        <v>1328</v>
      </c>
      <c r="C70" s="152">
        <v>3090</v>
      </c>
      <c r="D70" s="152"/>
      <c r="E70" s="152">
        <f t="shared" si="3"/>
        <v>0</v>
      </c>
      <c r="F70" s="152">
        <v>3090</v>
      </c>
      <c r="G70" s="563">
        <f t="shared" si="4"/>
        <v>1.1477324854722696E-3</v>
      </c>
    </row>
    <row r="71" spans="1:7">
      <c r="A71" s="540" t="s">
        <v>1334</v>
      </c>
      <c r="B71" s="152" t="s">
        <v>1335</v>
      </c>
      <c r="C71" s="152">
        <v>3025</v>
      </c>
      <c r="D71" s="152"/>
      <c r="E71" s="152">
        <f t="shared" si="3"/>
        <v>0</v>
      </c>
      <c r="F71" s="152">
        <v>3025</v>
      </c>
      <c r="G71" s="563">
        <f t="shared" si="4"/>
        <v>1.1235892454866071E-3</v>
      </c>
    </row>
    <row r="72" spans="1:7">
      <c r="A72" s="540" t="s">
        <v>1421</v>
      </c>
      <c r="B72" s="152" t="s">
        <v>1422</v>
      </c>
      <c r="C72" s="152">
        <v>3000</v>
      </c>
      <c r="D72" s="152"/>
      <c r="E72" s="152">
        <f t="shared" si="3"/>
        <v>0</v>
      </c>
      <c r="F72" s="152">
        <v>3000</v>
      </c>
      <c r="G72" s="563">
        <f t="shared" si="4"/>
        <v>1.1143033839536597E-3</v>
      </c>
    </row>
    <row r="73" spans="1:7">
      <c r="A73" s="540" t="s">
        <v>1472</v>
      </c>
      <c r="B73" s="152" t="s">
        <v>1473</v>
      </c>
      <c r="C73" s="152">
        <v>3000</v>
      </c>
      <c r="D73" s="152"/>
      <c r="E73" s="152">
        <f t="shared" si="3"/>
        <v>0</v>
      </c>
      <c r="F73" s="152">
        <v>3000</v>
      </c>
      <c r="G73" s="563">
        <f t="shared" si="4"/>
        <v>1.1143033839536597E-3</v>
      </c>
    </row>
    <row r="74" spans="1:7">
      <c r="A74" s="540" t="s">
        <v>1627</v>
      </c>
      <c r="B74" s="152" t="s">
        <v>1628</v>
      </c>
      <c r="C74" s="152">
        <v>3000</v>
      </c>
      <c r="D74" s="152"/>
      <c r="E74" s="152">
        <f t="shared" si="3"/>
        <v>0</v>
      </c>
      <c r="F74" s="152">
        <v>3000</v>
      </c>
      <c r="G74" s="563">
        <f t="shared" si="4"/>
        <v>1.1143033839536597E-3</v>
      </c>
    </row>
    <row r="75" spans="1:7">
      <c r="A75" s="540" t="s">
        <v>1657</v>
      </c>
      <c r="B75" s="152" t="s">
        <v>1646</v>
      </c>
      <c r="C75" s="152">
        <v>3000</v>
      </c>
      <c r="D75" s="152"/>
      <c r="E75" s="152">
        <f t="shared" si="3"/>
        <v>0</v>
      </c>
      <c r="F75" s="152">
        <v>3000</v>
      </c>
      <c r="G75" s="563">
        <f t="shared" si="4"/>
        <v>1.1143033839536597E-3</v>
      </c>
    </row>
    <row r="76" spans="1:7">
      <c r="A76" s="540" t="s">
        <v>1904</v>
      </c>
      <c r="B76" s="152" t="s">
        <v>1905</v>
      </c>
      <c r="C76" s="152">
        <v>2875</v>
      </c>
      <c r="D76" s="152"/>
      <c r="E76" s="152">
        <f t="shared" si="3"/>
        <v>0</v>
      </c>
      <c r="F76" s="152">
        <v>2875</v>
      </c>
      <c r="G76" s="563">
        <f t="shared" si="4"/>
        <v>1.0678740762889241E-3</v>
      </c>
    </row>
    <row r="77" spans="1:7">
      <c r="A77" s="540" t="s">
        <v>1336</v>
      </c>
      <c r="B77" s="152" t="s">
        <v>1315</v>
      </c>
      <c r="C77" s="152">
        <v>2500</v>
      </c>
      <c r="D77" s="152"/>
      <c r="E77" s="152">
        <f t="shared" si="3"/>
        <v>0</v>
      </c>
      <c r="F77" s="152">
        <v>2500</v>
      </c>
      <c r="G77" s="563">
        <f t="shared" si="4"/>
        <v>9.2858615329471656E-4</v>
      </c>
    </row>
    <row r="78" spans="1:7">
      <c r="A78" s="540" t="s">
        <v>1345</v>
      </c>
      <c r="B78" s="152" t="s">
        <v>1346</v>
      </c>
      <c r="C78" s="152">
        <v>2500</v>
      </c>
      <c r="D78" s="152"/>
      <c r="E78" s="152">
        <f t="shared" si="3"/>
        <v>0</v>
      </c>
      <c r="F78" s="152">
        <v>2500</v>
      </c>
      <c r="G78" s="563">
        <f t="shared" si="4"/>
        <v>9.2858615329471656E-4</v>
      </c>
    </row>
    <row r="79" spans="1:7">
      <c r="A79" s="540" t="s">
        <v>1403</v>
      </c>
      <c r="B79" s="152" t="s">
        <v>1404</v>
      </c>
      <c r="C79" s="152">
        <v>2500</v>
      </c>
      <c r="D79" s="152"/>
      <c r="E79" s="152">
        <f t="shared" si="3"/>
        <v>0</v>
      </c>
      <c r="F79" s="152">
        <v>2500</v>
      </c>
      <c r="G79" s="563">
        <f t="shared" si="4"/>
        <v>9.2858615329471656E-4</v>
      </c>
    </row>
    <row r="80" spans="1:7">
      <c r="A80" s="540" t="s">
        <v>1405</v>
      </c>
      <c r="B80" s="152" t="s">
        <v>1406</v>
      </c>
      <c r="C80" s="152">
        <v>2500</v>
      </c>
      <c r="D80" s="152"/>
      <c r="E80" s="152">
        <f t="shared" si="3"/>
        <v>0</v>
      </c>
      <c r="F80" s="152">
        <v>2500</v>
      </c>
      <c r="G80" s="563">
        <f t="shared" si="4"/>
        <v>9.2858615329471656E-4</v>
      </c>
    </row>
    <row r="81" spans="1:7">
      <c r="A81" s="540" t="s">
        <v>1497</v>
      </c>
      <c r="B81" s="152" t="s">
        <v>1498</v>
      </c>
      <c r="C81" s="152">
        <v>2500</v>
      </c>
      <c r="D81" s="152"/>
      <c r="E81" s="152">
        <f t="shared" si="3"/>
        <v>0</v>
      </c>
      <c r="F81" s="152">
        <v>2500</v>
      </c>
      <c r="G81" s="563">
        <f t="shared" si="4"/>
        <v>9.2858615329471656E-4</v>
      </c>
    </row>
    <row r="82" spans="1:7">
      <c r="A82" s="540" t="s">
        <v>1513</v>
      </c>
      <c r="B82" s="152" t="s">
        <v>1514</v>
      </c>
      <c r="C82" s="152">
        <v>2500</v>
      </c>
      <c r="D82" s="152"/>
      <c r="E82" s="152">
        <f t="shared" si="3"/>
        <v>0</v>
      </c>
      <c r="F82" s="152">
        <v>2500</v>
      </c>
      <c r="G82" s="563">
        <f t="shared" si="4"/>
        <v>9.2858615329471656E-4</v>
      </c>
    </row>
    <row r="83" spans="1:7">
      <c r="A83" s="540" t="s">
        <v>1561</v>
      </c>
      <c r="B83" s="152" t="s">
        <v>1562</v>
      </c>
      <c r="C83" s="152">
        <v>2500</v>
      </c>
      <c r="D83" s="152"/>
      <c r="E83" s="152">
        <f t="shared" si="3"/>
        <v>0</v>
      </c>
      <c r="F83" s="152">
        <v>2500</v>
      </c>
      <c r="G83" s="563">
        <f t="shared" si="4"/>
        <v>9.2858615329471656E-4</v>
      </c>
    </row>
    <row r="84" spans="1:7">
      <c r="A84" s="540" t="s">
        <v>1624</v>
      </c>
      <c r="B84" s="152" t="s">
        <v>1619</v>
      </c>
      <c r="C84" s="152">
        <v>2500</v>
      </c>
      <c r="D84" s="152"/>
      <c r="E84" s="152">
        <f t="shared" si="3"/>
        <v>0</v>
      </c>
      <c r="F84" s="152">
        <v>2500</v>
      </c>
      <c r="G84" s="563">
        <f t="shared" si="4"/>
        <v>9.2858615329471656E-4</v>
      </c>
    </row>
    <row r="85" spans="1:7">
      <c r="A85" s="540" t="s">
        <v>1625</v>
      </c>
      <c r="B85" s="152" t="s">
        <v>1619</v>
      </c>
      <c r="C85" s="152">
        <v>2500</v>
      </c>
      <c r="D85" s="152"/>
      <c r="E85" s="152">
        <f t="shared" si="3"/>
        <v>0</v>
      </c>
      <c r="F85" s="152">
        <v>2500</v>
      </c>
      <c r="G85" s="563">
        <f t="shared" si="4"/>
        <v>9.2858615329471656E-4</v>
      </c>
    </row>
    <row r="86" spans="1:7">
      <c r="A86" s="540" t="s">
        <v>1705</v>
      </c>
      <c r="B86" s="152" t="s">
        <v>1706</v>
      </c>
      <c r="C86" s="152">
        <v>2500</v>
      </c>
      <c r="D86" s="152"/>
      <c r="E86" s="152">
        <f t="shared" si="3"/>
        <v>0</v>
      </c>
      <c r="F86" s="152">
        <v>2500</v>
      </c>
      <c r="G86" s="563">
        <f t="shared" si="4"/>
        <v>9.2858615329471656E-4</v>
      </c>
    </row>
    <row r="87" spans="1:7">
      <c r="A87" s="540" t="s">
        <v>1715</v>
      </c>
      <c r="B87" s="152" t="s">
        <v>1716</v>
      </c>
      <c r="C87" s="152">
        <v>2500</v>
      </c>
      <c r="D87" s="152"/>
      <c r="E87" s="152">
        <f t="shared" si="3"/>
        <v>0</v>
      </c>
      <c r="F87" s="152">
        <v>2500</v>
      </c>
      <c r="G87" s="563">
        <f t="shared" si="4"/>
        <v>9.2858615329471656E-4</v>
      </c>
    </row>
    <row r="88" spans="1:7">
      <c r="A88" s="540" t="s">
        <v>1772</v>
      </c>
      <c r="B88" s="152" t="s">
        <v>1773</v>
      </c>
      <c r="C88" s="152">
        <v>2500</v>
      </c>
      <c r="D88" s="152"/>
      <c r="E88" s="152">
        <f t="shared" si="3"/>
        <v>0</v>
      </c>
      <c r="F88" s="152">
        <v>2500</v>
      </c>
      <c r="G88" s="563">
        <f t="shared" si="4"/>
        <v>9.2858615329471656E-4</v>
      </c>
    </row>
    <row r="89" spans="1:7">
      <c r="A89" s="540" t="s">
        <v>1878</v>
      </c>
      <c r="B89" s="152" t="s">
        <v>1879</v>
      </c>
      <c r="C89" s="152">
        <v>2500</v>
      </c>
      <c r="D89" s="152"/>
      <c r="E89" s="152">
        <f t="shared" si="3"/>
        <v>0</v>
      </c>
      <c r="F89" s="152">
        <v>2500</v>
      </c>
      <c r="G89" s="563">
        <f t="shared" si="4"/>
        <v>9.2858615329471656E-4</v>
      </c>
    </row>
    <row r="90" spans="1:7">
      <c r="A90" s="540" t="s">
        <v>1894</v>
      </c>
      <c r="B90" s="152" t="s">
        <v>1895</v>
      </c>
      <c r="C90" s="152">
        <v>2500</v>
      </c>
      <c r="D90" s="152"/>
      <c r="E90" s="152">
        <f t="shared" si="3"/>
        <v>0</v>
      </c>
      <c r="F90" s="152">
        <v>2500</v>
      </c>
      <c r="G90" s="563">
        <f t="shared" si="4"/>
        <v>9.2858615329471656E-4</v>
      </c>
    </row>
    <row r="91" spans="1:7">
      <c r="A91" s="540" t="s">
        <v>1920</v>
      </c>
      <c r="B91" s="152" t="s">
        <v>1921</v>
      </c>
      <c r="C91" s="152">
        <v>2500</v>
      </c>
      <c r="D91" s="152"/>
      <c r="E91" s="152">
        <f t="shared" si="3"/>
        <v>0</v>
      </c>
      <c r="F91" s="152">
        <v>2500</v>
      </c>
      <c r="G91" s="563">
        <f t="shared" si="4"/>
        <v>9.2858615329471656E-4</v>
      </c>
    </row>
    <row r="92" spans="1:7">
      <c r="A92" s="540" t="s">
        <v>1922</v>
      </c>
      <c r="B92" s="152" t="s">
        <v>1923</v>
      </c>
      <c r="C92" s="152">
        <v>2500</v>
      </c>
      <c r="D92" s="152"/>
      <c r="E92" s="152">
        <f t="shared" si="3"/>
        <v>0</v>
      </c>
      <c r="F92" s="152">
        <v>2500</v>
      </c>
      <c r="G92" s="563">
        <f t="shared" si="4"/>
        <v>9.2858615329471656E-4</v>
      </c>
    </row>
    <row r="93" spans="1:7">
      <c r="A93" s="540" t="s">
        <v>2003</v>
      </c>
      <c r="B93" s="152" t="s">
        <v>2004</v>
      </c>
      <c r="C93" s="152">
        <v>2500</v>
      </c>
      <c r="D93" s="152"/>
      <c r="E93" s="152">
        <f t="shared" si="3"/>
        <v>0</v>
      </c>
      <c r="F93" s="152">
        <v>2500</v>
      </c>
      <c r="G93" s="563">
        <f t="shared" si="4"/>
        <v>9.2858615329471656E-4</v>
      </c>
    </row>
    <row r="94" spans="1:7">
      <c r="A94" s="540" t="s">
        <v>2053</v>
      </c>
      <c r="B94" s="152" t="s">
        <v>2054</v>
      </c>
      <c r="C94" s="152">
        <v>2500</v>
      </c>
      <c r="D94" s="152"/>
      <c r="E94" s="152">
        <f t="shared" si="3"/>
        <v>0</v>
      </c>
      <c r="F94" s="152">
        <v>2500</v>
      </c>
      <c r="G94" s="563">
        <f t="shared" si="4"/>
        <v>9.2858615329471656E-4</v>
      </c>
    </row>
    <row r="95" spans="1:7">
      <c r="A95" s="540" t="s">
        <v>1308</v>
      </c>
      <c r="B95" s="152" t="s">
        <v>1309</v>
      </c>
      <c r="C95" s="152">
        <v>2190</v>
      </c>
      <c r="D95" s="152"/>
      <c r="E95" s="152">
        <f t="shared" si="3"/>
        <v>0</v>
      </c>
      <c r="F95" s="152">
        <v>2190</v>
      </c>
      <c r="G95" s="563">
        <f t="shared" si="4"/>
        <v>8.1344147028617169E-4</v>
      </c>
    </row>
    <row r="96" spans="1:7">
      <c r="A96" s="540" t="s">
        <v>1826</v>
      </c>
      <c r="B96" s="152" t="s">
        <v>1827</v>
      </c>
      <c r="C96" s="152">
        <v>2100</v>
      </c>
      <c r="D96" s="152"/>
      <c r="E96" s="152">
        <f t="shared" si="3"/>
        <v>0</v>
      </c>
      <c r="F96" s="152">
        <v>2100</v>
      </c>
      <c r="G96" s="563">
        <f t="shared" si="4"/>
        <v>7.8001236876756191E-4</v>
      </c>
    </row>
    <row r="97" spans="1:7">
      <c r="A97" s="540" t="s">
        <v>1933</v>
      </c>
      <c r="B97" s="152" t="s">
        <v>1934</v>
      </c>
      <c r="C97" s="152">
        <v>2100</v>
      </c>
      <c r="D97" s="152"/>
      <c r="E97" s="152">
        <f t="shared" si="3"/>
        <v>0</v>
      </c>
      <c r="F97" s="152">
        <v>2100</v>
      </c>
      <c r="G97" s="563">
        <f t="shared" si="4"/>
        <v>7.8001236876756191E-4</v>
      </c>
    </row>
    <row r="98" spans="1:7">
      <c r="A98" s="540" t="s">
        <v>2275</v>
      </c>
      <c r="B98" s="152" t="s">
        <v>2276</v>
      </c>
      <c r="C98" s="152">
        <v>0</v>
      </c>
      <c r="D98" s="152">
        <v>2000</v>
      </c>
      <c r="E98" s="152">
        <v>0</v>
      </c>
      <c r="F98" s="152">
        <v>2000</v>
      </c>
      <c r="G98" s="563">
        <f t="shared" si="4"/>
        <v>7.4286892263577327E-4</v>
      </c>
    </row>
    <row r="99" spans="1:7">
      <c r="A99" s="540" t="s">
        <v>1393</v>
      </c>
      <c r="B99" s="152" t="s">
        <v>1394</v>
      </c>
      <c r="C99" s="152">
        <v>2000</v>
      </c>
      <c r="D99" s="152"/>
      <c r="E99" s="152">
        <f>C99-F99</f>
        <v>0</v>
      </c>
      <c r="F99" s="152">
        <v>2000</v>
      </c>
      <c r="G99" s="563">
        <f t="shared" si="4"/>
        <v>7.4286892263577327E-4</v>
      </c>
    </row>
    <row r="100" spans="1:7">
      <c r="A100" s="540" t="s">
        <v>2292</v>
      </c>
      <c r="B100" s="152" t="s">
        <v>2293</v>
      </c>
      <c r="C100" s="152">
        <v>0</v>
      </c>
      <c r="D100" s="152">
        <v>2000</v>
      </c>
      <c r="E100" s="152">
        <v>0</v>
      </c>
      <c r="F100" s="152">
        <v>2000</v>
      </c>
      <c r="G100" s="563">
        <f t="shared" si="4"/>
        <v>7.4286892263577327E-4</v>
      </c>
    </row>
    <row r="101" spans="1:7">
      <c r="A101" s="540" t="s">
        <v>1383</v>
      </c>
      <c r="B101" s="152" t="s">
        <v>1384</v>
      </c>
      <c r="C101" s="152">
        <v>1800</v>
      </c>
      <c r="D101" s="152"/>
      <c r="E101" s="152">
        <f t="shared" ref="E101:E110" si="5">C101-F101</f>
        <v>0</v>
      </c>
      <c r="F101" s="152">
        <v>1800</v>
      </c>
      <c r="G101" s="563">
        <f t="shared" si="4"/>
        <v>6.6858203037219589E-4</v>
      </c>
    </row>
    <row r="102" spans="1:7">
      <c r="A102" s="540" t="s">
        <v>1367</v>
      </c>
      <c r="B102" s="152" t="s">
        <v>1368</v>
      </c>
      <c r="C102" s="152">
        <v>1700</v>
      </c>
      <c r="D102" s="152"/>
      <c r="E102" s="152">
        <f t="shared" si="5"/>
        <v>0</v>
      </c>
      <c r="F102" s="152">
        <v>1700</v>
      </c>
      <c r="G102" s="563">
        <f t="shared" si="4"/>
        <v>6.3143858424040725E-4</v>
      </c>
    </row>
    <row r="103" spans="1:7">
      <c r="A103" s="540" t="s">
        <v>1434</v>
      </c>
      <c r="B103" s="152" t="s">
        <v>1435</v>
      </c>
      <c r="C103" s="152">
        <v>1700</v>
      </c>
      <c r="D103" s="152"/>
      <c r="E103" s="152">
        <f t="shared" si="5"/>
        <v>0</v>
      </c>
      <c r="F103" s="152">
        <v>1700</v>
      </c>
      <c r="G103" s="563">
        <f t="shared" si="4"/>
        <v>6.3143858424040725E-4</v>
      </c>
    </row>
    <row r="104" spans="1:7">
      <c r="A104" s="540" t="s">
        <v>1436</v>
      </c>
      <c r="B104" s="152" t="s">
        <v>1437</v>
      </c>
      <c r="C104" s="152">
        <v>1700</v>
      </c>
      <c r="D104" s="152"/>
      <c r="E104" s="152">
        <f t="shared" si="5"/>
        <v>0</v>
      </c>
      <c r="F104" s="152">
        <v>1700</v>
      </c>
      <c r="G104" s="563">
        <f t="shared" si="4"/>
        <v>6.3143858424040725E-4</v>
      </c>
    </row>
    <row r="105" spans="1:7">
      <c r="A105" s="540" t="s">
        <v>1446</v>
      </c>
      <c r="B105" s="152" t="s">
        <v>1447</v>
      </c>
      <c r="C105" s="152">
        <v>1700</v>
      </c>
      <c r="D105" s="152"/>
      <c r="E105" s="152">
        <f t="shared" si="5"/>
        <v>0</v>
      </c>
      <c r="F105" s="152">
        <v>1700</v>
      </c>
      <c r="G105" s="563">
        <f t="shared" si="4"/>
        <v>6.3143858424040725E-4</v>
      </c>
    </row>
    <row r="106" spans="1:7">
      <c r="A106" s="540" t="s">
        <v>1458</v>
      </c>
      <c r="B106" s="152" t="s">
        <v>1459</v>
      </c>
      <c r="C106" s="152">
        <v>1700</v>
      </c>
      <c r="D106" s="152"/>
      <c r="E106" s="152">
        <f t="shared" si="5"/>
        <v>0</v>
      </c>
      <c r="F106" s="152">
        <v>1700</v>
      </c>
      <c r="G106" s="563">
        <f t="shared" si="4"/>
        <v>6.3143858424040725E-4</v>
      </c>
    </row>
    <row r="107" spans="1:7">
      <c r="A107" s="540" t="s">
        <v>1483</v>
      </c>
      <c r="B107" s="152" t="s">
        <v>1484</v>
      </c>
      <c r="C107" s="152">
        <v>1700</v>
      </c>
      <c r="D107" s="152"/>
      <c r="E107" s="152">
        <f t="shared" si="5"/>
        <v>0</v>
      </c>
      <c r="F107" s="152">
        <v>1700</v>
      </c>
      <c r="G107" s="563">
        <f t="shared" si="4"/>
        <v>6.3143858424040725E-4</v>
      </c>
    </row>
    <row r="108" spans="1:7">
      <c r="A108" s="540" t="s">
        <v>1505</v>
      </c>
      <c r="B108" s="152" t="s">
        <v>1506</v>
      </c>
      <c r="C108" s="152">
        <v>1700</v>
      </c>
      <c r="D108" s="152"/>
      <c r="E108" s="152">
        <f t="shared" si="5"/>
        <v>0</v>
      </c>
      <c r="F108" s="152">
        <v>1700</v>
      </c>
      <c r="G108" s="563">
        <f t="shared" si="4"/>
        <v>6.3143858424040725E-4</v>
      </c>
    </row>
    <row r="109" spans="1:7">
      <c r="A109" s="540" t="s">
        <v>1539</v>
      </c>
      <c r="B109" s="152" t="s">
        <v>1540</v>
      </c>
      <c r="C109" s="152">
        <v>1700</v>
      </c>
      <c r="D109" s="152"/>
      <c r="E109" s="152">
        <f t="shared" si="5"/>
        <v>0</v>
      </c>
      <c r="F109" s="152">
        <v>1700</v>
      </c>
      <c r="G109" s="563">
        <f t="shared" si="4"/>
        <v>6.3143858424040725E-4</v>
      </c>
    </row>
    <row r="110" spans="1:7">
      <c r="A110" s="540" t="s">
        <v>1565</v>
      </c>
      <c r="B110" s="152" t="s">
        <v>1566</v>
      </c>
      <c r="C110" s="152">
        <v>1700</v>
      </c>
      <c r="D110" s="152"/>
      <c r="E110" s="152">
        <f t="shared" si="5"/>
        <v>0</v>
      </c>
      <c r="F110" s="152">
        <v>1700</v>
      </c>
      <c r="G110" s="563">
        <f t="shared" si="4"/>
        <v>6.3143858424040725E-4</v>
      </c>
    </row>
    <row r="111" spans="1:7">
      <c r="A111" s="540" t="s">
        <v>2285</v>
      </c>
      <c r="B111" s="152" t="s">
        <v>2286</v>
      </c>
      <c r="C111" s="152">
        <v>0</v>
      </c>
      <c r="D111" s="152">
        <v>1700</v>
      </c>
      <c r="E111" s="152">
        <v>0</v>
      </c>
      <c r="F111" s="152">
        <v>1700</v>
      </c>
      <c r="G111" s="563">
        <f t="shared" si="4"/>
        <v>6.3143858424040725E-4</v>
      </c>
    </row>
    <row r="112" spans="1:7">
      <c r="A112" s="540" t="s">
        <v>1681</v>
      </c>
      <c r="B112" s="152" t="s">
        <v>1682</v>
      </c>
      <c r="C112" s="152">
        <v>1700</v>
      </c>
      <c r="D112" s="152"/>
      <c r="E112" s="152">
        <f t="shared" ref="E112:E126" si="6">C112-F112</f>
        <v>0</v>
      </c>
      <c r="F112" s="152">
        <v>1700</v>
      </c>
      <c r="G112" s="563">
        <f t="shared" si="4"/>
        <v>6.3143858424040725E-4</v>
      </c>
    </row>
    <row r="113" spans="1:7">
      <c r="A113" s="540" t="s">
        <v>1697</v>
      </c>
      <c r="B113" s="152" t="s">
        <v>1698</v>
      </c>
      <c r="C113" s="152">
        <v>1700</v>
      </c>
      <c r="D113" s="152"/>
      <c r="E113" s="152">
        <f t="shared" si="6"/>
        <v>0</v>
      </c>
      <c r="F113" s="152">
        <v>1700</v>
      </c>
      <c r="G113" s="563">
        <f t="shared" si="4"/>
        <v>6.3143858424040725E-4</v>
      </c>
    </row>
    <row r="114" spans="1:7">
      <c r="A114" s="540" t="s">
        <v>1750</v>
      </c>
      <c r="B114" s="152" t="s">
        <v>1751</v>
      </c>
      <c r="C114" s="152">
        <v>1700</v>
      </c>
      <c r="D114" s="152"/>
      <c r="E114" s="152">
        <f t="shared" si="6"/>
        <v>0</v>
      </c>
      <c r="F114" s="152">
        <v>1700</v>
      </c>
      <c r="G114" s="563">
        <f t="shared" si="4"/>
        <v>6.3143858424040725E-4</v>
      </c>
    </row>
    <row r="115" spans="1:7">
      <c r="A115" s="540" t="s">
        <v>1766</v>
      </c>
      <c r="B115" s="152" t="s">
        <v>1767</v>
      </c>
      <c r="C115" s="152">
        <v>1700</v>
      </c>
      <c r="D115" s="152"/>
      <c r="E115" s="152">
        <f t="shared" si="6"/>
        <v>0</v>
      </c>
      <c r="F115" s="152">
        <v>1700</v>
      </c>
      <c r="G115" s="563">
        <f t="shared" si="4"/>
        <v>6.3143858424040725E-4</v>
      </c>
    </row>
    <row r="116" spans="1:7">
      <c r="A116" s="540" t="s">
        <v>1784</v>
      </c>
      <c r="B116" s="152" t="s">
        <v>1785</v>
      </c>
      <c r="C116" s="152">
        <v>1700</v>
      </c>
      <c r="D116" s="152"/>
      <c r="E116" s="152">
        <f t="shared" si="6"/>
        <v>0</v>
      </c>
      <c r="F116" s="152">
        <v>1700</v>
      </c>
      <c r="G116" s="563">
        <f t="shared" si="4"/>
        <v>6.3143858424040725E-4</v>
      </c>
    </row>
    <row r="117" spans="1:7">
      <c r="A117" s="540" t="s">
        <v>1870</v>
      </c>
      <c r="B117" s="152" t="s">
        <v>1871</v>
      </c>
      <c r="C117" s="152">
        <v>1700</v>
      </c>
      <c r="D117" s="152"/>
      <c r="E117" s="152">
        <f t="shared" si="6"/>
        <v>0</v>
      </c>
      <c r="F117" s="152">
        <v>1700</v>
      </c>
      <c r="G117" s="563">
        <f t="shared" si="4"/>
        <v>6.3143858424040725E-4</v>
      </c>
    </row>
    <row r="118" spans="1:7">
      <c r="A118" s="540" t="s">
        <v>1872</v>
      </c>
      <c r="B118" s="152" t="s">
        <v>1873</v>
      </c>
      <c r="C118" s="152">
        <v>1700</v>
      </c>
      <c r="D118" s="152"/>
      <c r="E118" s="152">
        <f t="shared" si="6"/>
        <v>0</v>
      </c>
      <c r="F118" s="152">
        <v>1700</v>
      </c>
      <c r="G118" s="563">
        <f t="shared" si="4"/>
        <v>6.3143858424040725E-4</v>
      </c>
    </row>
    <row r="119" spans="1:7">
      <c r="A119" s="540" t="s">
        <v>1961</v>
      </c>
      <c r="B119" s="152" t="s">
        <v>1962</v>
      </c>
      <c r="C119" s="152">
        <v>1700</v>
      </c>
      <c r="D119" s="152"/>
      <c r="E119" s="152">
        <f t="shared" si="6"/>
        <v>0</v>
      </c>
      <c r="F119" s="152">
        <v>1700</v>
      </c>
      <c r="G119" s="563">
        <f t="shared" si="4"/>
        <v>6.3143858424040725E-4</v>
      </c>
    </row>
    <row r="120" spans="1:7">
      <c r="A120" s="540" t="s">
        <v>1979</v>
      </c>
      <c r="B120" s="152" t="s">
        <v>1980</v>
      </c>
      <c r="C120" s="152">
        <v>1700</v>
      </c>
      <c r="D120" s="152"/>
      <c r="E120" s="152">
        <f t="shared" si="6"/>
        <v>0</v>
      </c>
      <c r="F120" s="152">
        <v>1700</v>
      </c>
      <c r="G120" s="563">
        <f t="shared" si="4"/>
        <v>6.3143858424040725E-4</v>
      </c>
    </row>
    <row r="121" spans="1:7">
      <c r="A121" s="540" t="s">
        <v>1985</v>
      </c>
      <c r="B121" s="152" t="s">
        <v>1986</v>
      </c>
      <c r="C121" s="152">
        <v>1700</v>
      </c>
      <c r="D121" s="152"/>
      <c r="E121" s="152">
        <f t="shared" si="6"/>
        <v>0</v>
      </c>
      <c r="F121" s="152">
        <v>1700</v>
      </c>
      <c r="G121" s="563">
        <f t="shared" si="4"/>
        <v>6.3143858424040725E-4</v>
      </c>
    </row>
    <row r="122" spans="1:7">
      <c r="A122" s="540" t="s">
        <v>1991</v>
      </c>
      <c r="B122" s="152" t="s">
        <v>1992</v>
      </c>
      <c r="C122" s="152">
        <v>1700</v>
      </c>
      <c r="D122" s="152"/>
      <c r="E122" s="152">
        <f t="shared" si="6"/>
        <v>0</v>
      </c>
      <c r="F122" s="152">
        <v>1700</v>
      </c>
      <c r="G122" s="563">
        <f t="shared" si="4"/>
        <v>6.3143858424040725E-4</v>
      </c>
    </row>
    <row r="123" spans="1:7">
      <c r="A123" s="540" t="s">
        <v>2051</v>
      </c>
      <c r="B123" s="152" t="s">
        <v>2052</v>
      </c>
      <c r="C123" s="152">
        <v>1700</v>
      </c>
      <c r="D123" s="152"/>
      <c r="E123" s="152">
        <f t="shared" si="6"/>
        <v>0</v>
      </c>
      <c r="F123" s="152">
        <v>1700</v>
      </c>
      <c r="G123" s="563">
        <f t="shared" si="4"/>
        <v>6.3143858424040725E-4</v>
      </c>
    </row>
    <row r="124" spans="1:7">
      <c r="A124" s="540" t="s">
        <v>1585</v>
      </c>
      <c r="B124" s="152" t="s">
        <v>1586</v>
      </c>
      <c r="C124" s="152">
        <v>1600</v>
      </c>
      <c r="D124" s="152"/>
      <c r="E124" s="152">
        <f t="shared" si="6"/>
        <v>0</v>
      </c>
      <c r="F124" s="152">
        <v>1600</v>
      </c>
      <c r="G124" s="563">
        <f t="shared" si="4"/>
        <v>5.9429513810861862E-4</v>
      </c>
    </row>
    <row r="125" spans="1:7">
      <c r="A125" s="540" t="s">
        <v>1822</v>
      </c>
      <c r="B125" s="152" t="s">
        <v>1823</v>
      </c>
      <c r="C125" s="152">
        <v>1600</v>
      </c>
      <c r="D125" s="152"/>
      <c r="E125" s="152">
        <f t="shared" si="6"/>
        <v>0</v>
      </c>
      <c r="F125" s="152">
        <v>1600</v>
      </c>
      <c r="G125" s="563">
        <f t="shared" si="4"/>
        <v>5.9429513810861862E-4</v>
      </c>
    </row>
    <row r="126" spans="1:7">
      <c r="A126" s="540" t="s">
        <v>1304</v>
      </c>
      <c r="B126" s="152" t="s">
        <v>1305</v>
      </c>
      <c r="C126" s="152">
        <v>1575</v>
      </c>
      <c r="D126" s="152"/>
      <c r="E126" s="152">
        <f t="shared" si="6"/>
        <v>0</v>
      </c>
      <c r="F126" s="152">
        <v>1575</v>
      </c>
      <c r="G126" s="563">
        <f t="shared" si="4"/>
        <v>5.8500927657567138E-4</v>
      </c>
    </row>
    <row r="127" spans="1:7">
      <c r="A127" s="540" t="s">
        <v>2287</v>
      </c>
      <c r="B127" s="152" t="s">
        <v>2288</v>
      </c>
      <c r="C127" s="152">
        <v>0</v>
      </c>
      <c r="D127" s="152">
        <v>1500</v>
      </c>
      <c r="E127" s="152">
        <v>0</v>
      </c>
      <c r="F127" s="152">
        <v>1500</v>
      </c>
      <c r="G127" s="563">
        <f t="shared" si="4"/>
        <v>5.5715169197682987E-4</v>
      </c>
    </row>
    <row r="128" spans="1:7">
      <c r="A128" s="540" t="s">
        <v>1754</v>
      </c>
      <c r="B128" s="152" t="s">
        <v>1755</v>
      </c>
      <c r="C128" s="152">
        <v>1500</v>
      </c>
      <c r="D128" s="152"/>
      <c r="E128" s="152">
        <f>C128-F128</f>
        <v>0</v>
      </c>
      <c r="F128" s="152">
        <v>1500</v>
      </c>
      <c r="G128" s="563">
        <f t="shared" si="4"/>
        <v>5.5715169197682987E-4</v>
      </c>
    </row>
    <row r="129" spans="1:7">
      <c r="A129" s="540" t="s">
        <v>1816</v>
      </c>
      <c r="B129" s="152" t="s">
        <v>1817</v>
      </c>
      <c r="C129" s="152">
        <v>1500</v>
      </c>
      <c r="D129" s="152"/>
      <c r="E129" s="152">
        <f>C129-F129</f>
        <v>0</v>
      </c>
      <c r="F129" s="152">
        <v>1500</v>
      </c>
      <c r="G129" s="563">
        <f t="shared" si="4"/>
        <v>5.5715169197682987E-4</v>
      </c>
    </row>
    <row r="130" spans="1:7">
      <c r="A130" s="540" t="s">
        <v>1884</v>
      </c>
      <c r="B130" s="152" t="s">
        <v>1885</v>
      </c>
      <c r="C130" s="152">
        <v>1500</v>
      </c>
      <c r="D130" s="152"/>
      <c r="E130" s="152">
        <f>C130-F130</f>
        <v>0</v>
      </c>
      <c r="F130" s="152">
        <v>1500</v>
      </c>
      <c r="G130" s="563">
        <f t="shared" si="4"/>
        <v>5.5715169197682987E-4</v>
      </c>
    </row>
    <row r="131" spans="1:7">
      <c r="A131" s="540" t="s">
        <v>1896</v>
      </c>
      <c r="B131" s="152" t="s">
        <v>1897</v>
      </c>
      <c r="C131" s="152">
        <v>1500</v>
      </c>
      <c r="D131" s="152"/>
      <c r="E131" s="152">
        <f>C131-F131</f>
        <v>0</v>
      </c>
      <c r="F131" s="152">
        <v>1500</v>
      </c>
      <c r="G131" s="563">
        <f t="shared" si="4"/>
        <v>5.5715169197682987E-4</v>
      </c>
    </row>
    <row r="132" spans="1:7">
      <c r="A132" s="540" t="s">
        <v>1357</v>
      </c>
      <c r="B132" s="152" t="s">
        <v>1358</v>
      </c>
      <c r="C132" s="152">
        <v>1400</v>
      </c>
      <c r="D132" s="152"/>
      <c r="E132" s="152">
        <f>C132-F132</f>
        <v>0</v>
      </c>
      <c r="F132" s="152">
        <v>1400</v>
      </c>
      <c r="G132" s="563">
        <f t="shared" ref="G132:G195" si="7">+F132/$F$427</f>
        <v>5.2000824584504124E-4</v>
      </c>
    </row>
    <row r="133" spans="1:7">
      <c r="A133" s="540" t="s">
        <v>2270</v>
      </c>
      <c r="B133" s="152" t="s">
        <v>2271</v>
      </c>
      <c r="C133" s="152">
        <v>0</v>
      </c>
      <c r="D133" s="152">
        <v>1200</v>
      </c>
      <c r="E133" s="152">
        <v>0</v>
      </c>
      <c r="F133" s="152">
        <v>1200</v>
      </c>
      <c r="G133" s="563">
        <f t="shared" si="7"/>
        <v>4.4572135358146391E-4</v>
      </c>
    </row>
    <row r="134" spans="1:7">
      <c r="A134" s="540" t="s">
        <v>1517</v>
      </c>
      <c r="B134" s="152" t="s">
        <v>1518</v>
      </c>
      <c r="C134" s="152">
        <v>1150</v>
      </c>
      <c r="D134" s="152"/>
      <c r="E134" s="152">
        <f t="shared" ref="E134:E181" si="8">C134-F134</f>
        <v>0</v>
      </c>
      <c r="F134" s="152">
        <v>1150</v>
      </c>
      <c r="G134" s="563">
        <f t="shared" si="7"/>
        <v>4.2714963051556959E-4</v>
      </c>
    </row>
    <row r="135" spans="1:7">
      <c r="A135" s="540" t="s">
        <v>1874</v>
      </c>
      <c r="B135" s="152" t="s">
        <v>1875</v>
      </c>
      <c r="C135" s="152">
        <v>1150</v>
      </c>
      <c r="D135" s="152"/>
      <c r="E135" s="152">
        <f t="shared" si="8"/>
        <v>0</v>
      </c>
      <c r="F135" s="152">
        <v>1150</v>
      </c>
      <c r="G135" s="563">
        <f t="shared" si="7"/>
        <v>4.2714963051556959E-4</v>
      </c>
    </row>
    <row r="136" spans="1:7">
      <c r="A136" s="540" t="s">
        <v>1310</v>
      </c>
      <c r="B136" s="152" t="s">
        <v>1311</v>
      </c>
      <c r="C136" s="152">
        <v>1125</v>
      </c>
      <c r="D136" s="152"/>
      <c r="E136" s="152">
        <f t="shared" si="8"/>
        <v>0</v>
      </c>
      <c r="F136" s="152">
        <v>1125</v>
      </c>
      <c r="G136" s="563">
        <f t="shared" si="7"/>
        <v>4.1786376898262246E-4</v>
      </c>
    </row>
    <row r="137" spans="1:7">
      <c r="A137" s="540" t="s">
        <v>1332</v>
      </c>
      <c r="B137" s="152" t="s">
        <v>1333</v>
      </c>
      <c r="C137" s="152">
        <v>1000</v>
      </c>
      <c r="D137" s="152"/>
      <c r="E137" s="152">
        <f t="shared" si="8"/>
        <v>0</v>
      </c>
      <c r="F137" s="152">
        <v>1000</v>
      </c>
      <c r="G137" s="563">
        <f t="shared" si="7"/>
        <v>3.7143446131788664E-4</v>
      </c>
    </row>
    <row r="138" spans="1:7">
      <c r="A138" s="540" t="s">
        <v>1385</v>
      </c>
      <c r="B138" s="152" t="s">
        <v>1386</v>
      </c>
      <c r="C138" s="152">
        <v>1000</v>
      </c>
      <c r="D138" s="152"/>
      <c r="E138" s="152">
        <f t="shared" si="8"/>
        <v>0</v>
      </c>
      <c r="F138" s="152">
        <v>1000</v>
      </c>
      <c r="G138" s="563">
        <f t="shared" si="7"/>
        <v>3.7143446131788664E-4</v>
      </c>
    </row>
    <row r="139" spans="1:7">
      <c r="A139" s="540" t="s">
        <v>1387</v>
      </c>
      <c r="B139" s="152" t="s">
        <v>1388</v>
      </c>
      <c r="C139" s="152">
        <v>1000</v>
      </c>
      <c r="D139" s="152"/>
      <c r="E139" s="152">
        <f t="shared" si="8"/>
        <v>0</v>
      </c>
      <c r="F139" s="152">
        <v>1000</v>
      </c>
      <c r="G139" s="563">
        <f t="shared" si="7"/>
        <v>3.7143446131788664E-4</v>
      </c>
    </row>
    <row r="140" spans="1:7">
      <c r="A140" s="540" t="s">
        <v>1407</v>
      </c>
      <c r="B140" s="152" t="s">
        <v>1408</v>
      </c>
      <c r="C140" s="152">
        <v>1000</v>
      </c>
      <c r="D140" s="152"/>
      <c r="E140" s="152">
        <f t="shared" si="8"/>
        <v>0</v>
      </c>
      <c r="F140" s="152">
        <v>1000</v>
      </c>
      <c r="G140" s="563">
        <f t="shared" si="7"/>
        <v>3.7143446131788664E-4</v>
      </c>
    </row>
    <row r="141" spans="1:7">
      <c r="A141" s="540" t="s">
        <v>1411</v>
      </c>
      <c r="B141" s="152" t="s">
        <v>1412</v>
      </c>
      <c r="C141" s="152">
        <v>1000</v>
      </c>
      <c r="D141" s="152"/>
      <c r="E141" s="152">
        <f t="shared" si="8"/>
        <v>0</v>
      </c>
      <c r="F141" s="152">
        <v>1000</v>
      </c>
      <c r="G141" s="563">
        <f t="shared" si="7"/>
        <v>3.7143446131788664E-4</v>
      </c>
    </row>
    <row r="142" spans="1:7">
      <c r="A142" s="540" t="s">
        <v>1413</v>
      </c>
      <c r="B142" s="152" t="s">
        <v>1414</v>
      </c>
      <c r="C142" s="152">
        <v>1000</v>
      </c>
      <c r="D142" s="152"/>
      <c r="E142" s="152">
        <f t="shared" si="8"/>
        <v>0</v>
      </c>
      <c r="F142" s="152">
        <v>1000</v>
      </c>
      <c r="G142" s="563">
        <f t="shared" si="7"/>
        <v>3.7143446131788664E-4</v>
      </c>
    </row>
    <row r="143" spans="1:7">
      <c r="A143" s="540" t="s">
        <v>1417</v>
      </c>
      <c r="B143" s="152" t="s">
        <v>1418</v>
      </c>
      <c r="C143" s="152">
        <v>1000</v>
      </c>
      <c r="D143" s="152"/>
      <c r="E143" s="152">
        <f t="shared" si="8"/>
        <v>0</v>
      </c>
      <c r="F143" s="152">
        <v>1000</v>
      </c>
      <c r="G143" s="563">
        <f t="shared" si="7"/>
        <v>3.7143446131788664E-4</v>
      </c>
    </row>
    <row r="144" spans="1:7">
      <c r="A144" s="540" t="s">
        <v>1424</v>
      </c>
      <c r="B144" s="152" t="s">
        <v>1425</v>
      </c>
      <c r="C144" s="152">
        <v>1000</v>
      </c>
      <c r="D144" s="152"/>
      <c r="E144" s="152">
        <f t="shared" si="8"/>
        <v>0</v>
      </c>
      <c r="F144" s="152">
        <v>1000</v>
      </c>
      <c r="G144" s="563">
        <f t="shared" si="7"/>
        <v>3.7143446131788664E-4</v>
      </c>
    </row>
    <row r="145" spans="1:7">
      <c r="A145" s="540" t="s">
        <v>1426</v>
      </c>
      <c r="B145" s="152" t="s">
        <v>1427</v>
      </c>
      <c r="C145" s="152">
        <v>1000</v>
      </c>
      <c r="D145" s="152"/>
      <c r="E145" s="152">
        <f t="shared" si="8"/>
        <v>0</v>
      </c>
      <c r="F145" s="152">
        <v>1000</v>
      </c>
      <c r="G145" s="563">
        <f t="shared" si="7"/>
        <v>3.7143446131788664E-4</v>
      </c>
    </row>
    <row r="146" spans="1:7">
      <c r="A146" s="540" t="s">
        <v>1430</v>
      </c>
      <c r="B146" s="152" t="s">
        <v>1431</v>
      </c>
      <c r="C146" s="152">
        <v>1000</v>
      </c>
      <c r="D146" s="152"/>
      <c r="E146" s="152">
        <f t="shared" si="8"/>
        <v>0</v>
      </c>
      <c r="F146" s="152">
        <v>1000</v>
      </c>
      <c r="G146" s="563">
        <f t="shared" si="7"/>
        <v>3.7143446131788664E-4</v>
      </c>
    </row>
    <row r="147" spans="1:7">
      <c r="A147" s="540" t="s">
        <v>1432</v>
      </c>
      <c r="B147" s="152" t="s">
        <v>1433</v>
      </c>
      <c r="C147" s="152">
        <v>1000</v>
      </c>
      <c r="D147" s="152"/>
      <c r="E147" s="152">
        <f t="shared" si="8"/>
        <v>0</v>
      </c>
      <c r="F147" s="152">
        <v>1000</v>
      </c>
      <c r="G147" s="563">
        <f t="shared" si="7"/>
        <v>3.7143446131788664E-4</v>
      </c>
    </row>
    <row r="148" spans="1:7">
      <c r="A148" s="540" t="s">
        <v>1438</v>
      </c>
      <c r="B148" s="152" t="s">
        <v>1439</v>
      </c>
      <c r="C148" s="152">
        <v>1000</v>
      </c>
      <c r="D148" s="152"/>
      <c r="E148" s="152">
        <f t="shared" si="8"/>
        <v>0</v>
      </c>
      <c r="F148" s="152">
        <v>1000</v>
      </c>
      <c r="G148" s="563">
        <f t="shared" si="7"/>
        <v>3.7143446131788664E-4</v>
      </c>
    </row>
    <row r="149" spans="1:7">
      <c r="A149" s="540" t="s">
        <v>1440</v>
      </c>
      <c r="B149" s="152" t="s">
        <v>1441</v>
      </c>
      <c r="C149" s="152">
        <v>1000</v>
      </c>
      <c r="D149" s="152"/>
      <c r="E149" s="152">
        <f t="shared" si="8"/>
        <v>0</v>
      </c>
      <c r="F149" s="152">
        <v>1000</v>
      </c>
      <c r="G149" s="563">
        <f t="shared" si="7"/>
        <v>3.7143446131788664E-4</v>
      </c>
    </row>
    <row r="150" spans="1:7">
      <c r="A150" s="540" t="s">
        <v>1444</v>
      </c>
      <c r="B150" s="152" t="s">
        <v>1445</v>
      </c>
      <c r="C150" s="152">
        <v>1000</v>
      </c>
      <c r="D150" s="152"/>
      <c r="E150" s="152">
        <f t="shared" si="8"/>
        <v>0</v>
      </c>
      <c r="F150" s="152">
        <v>1000</v>
      </c>
      <c r="G150" s="563">
        <f t="shared" si="7"/>
        <v>3.7143446131788664E-4</v>
      </c>
    </row>
    <row r="151" spans="1:7">
      <c r="A151" s="540" t="s">
        <v>1448</v>
      </c>
      <c r="B151" s="152" t="s">
        <v>1449</v>
      </c>
      <c r="C151" s="152">
        <v>1000</v>
      </c>
      <c r="D151" s="152"/>
      <c r="E151" s="152">
        <f t="shared" si="8"/>
        <v>0</v>
      </c>
      <c r="F151" s="152">
        <v>1000</v>
      </c>
      <c r="G151" s="563">
        <f t="shared" si="7"/>
        <v>3.7143446131788664E-4</v>
      </c>
    </row>
    <row r="152" spans="1:7">
      <c r="A152" s="540" t="s">
        <v>1452</v>
      </c>
      <c r="B152" s="152" t="s">
        <v>1453</v>
      </c>
      <c r="C152" s="152">
        <v>1000</v>
      </c>
      <c r="D152" s="152"/>
      <c r="E152" s="152">
        <f t="shared" si="8"/>
        <v>0</v>
      </c>
      <c r="F152" s="152">
        <v>1000</v>
      </c>
      <c r="G152" s="563">
        <f t="shared" si="7"/>
        <v>3.7143446131788664E-4</v>
      </c>
    </row>
    <row r="153" spans="1:7">
      <c r="A153" s="540" t="s">
        <v>1454</v>
      </c>
      <c r="B153" s="152" t="s">
        <v>1455</v>
      </c>
      <c r="C153" s="152">
        <v>1000</v>
      </c>
      <c r="D153" s="152"/>
      <c r="E153" s="152">
        <f t="shared" si="8"/>
        <v>0</v>
      </c>
      <c r="F153" s="152">
        <v>1000</v>
      </c>
      <c r="G153" s="563">
        <f t="shared" si="7"/>
        <v>3.7143446131788664E-4</v>
      </c>
    </row>
    <row r="154" spans="1:7">
      <c r="A154" s="540" t="s">
        <v>1456</v>
      </c>
      <c r="B154" s="152" t="s">
        <v>1457</v>
      </c>
      <c r="C154" s="152">
        <v>1000</v>
      </c>
      <c r="D154" s="152"/>
      <c r="E154" s="152">
        <f t="shared" si="8"/>
        <v>0</v>
      </c>
      <c r="F154" s="152">
        <v>1000</v>
      </c>
      <c r="G154" s="563">
        <f t="shared" si="7"/>
        <v>3.7143446131788664E-4</v>
      </c>
    </row>
    <row r="155" spans="1:7">
      <c r="A155" s="540" t="s">
        <v>1464</v>
      </c>
      <c r="B155" s="152" t="s">
        <v>1465</v>
      </c>
      <c r="C155" s="152">
        <v>1000</v>
      </c>
      <c r="D155" s="152"/>
      <c r="E155" s="152">
        <f t="shared" si="8"/>
        <v>0</v>
      </c>
      <c r="F155" s="152">
        <v>1000</v>
      </c>
      <c r="G155" s="563">
        <f t="shared" si="7"/>
        <v>3.7143446131788664E-4</v>
      </c>
    </row>
    <row r="156" spans="1:7">
      <c r="A156" s="540" t="s">
        <v>1470</v>
      </c>
      <c r="B156" s="152" t="s">
        <v>1471</v>
      </c>
      <c r="C156" s="152">
        <v>1000</v>
      </c>
      <c r="D156" s="152"/>
      <c r="E156" s="152">
        <f t="shared" si="8"/>
        <v>0</v>
      </c>
      <c r="F156" s="152">
        <v>1000</v>
      </c>
      <c r="G156" s="563">
        <f t="shared" si="7"/>
        <v>3.7143446131788664E-4</v>
      </c>
    </row>
    <row r="157" spans="1:7">
      <c r="A157" s="540" t="s">
        <v>1474</v>
      </c>
      <c r="B157" s="152" t="s">
        <v>1463</v>
      </c>
      <c r="C157" s="152">
        <v>1000</v>
      </c>
      <c r="D157" s="152"/>
      <c r="E157" s="152">
        <f t="shared" si="8"/>
        <v>0</v>
      </c>
      <c r="F157" s="152">
        <v>1000</v>
      </c>
      <c r="G157" s="563">
        <f t="shared" si="7"/>
        <v>3.7143446131788664E-4</v>
      </c>
    </row>
    <row r="158" spans="1:7">
      <c r="A158" s="540" t="s">
        <v>1475</v>
      </c>
      <c r="B158" s="152" t="s">
        <v>1476</v>
      </c>
      <c r="C158" s="152">
        <v>1000</v>
      </c>
      <c r="D158" s="152"/>
      <c r="E158" s="152">
        <f t="shared" si="8"/>
        <v>0</v>
      </c>
      <c r="F158" s="152">
        <v>1000</v>
      </c>
      <c r="G158" s="563">
        <f t="shared" si="7"/>
        <v>3.7143446131788664E-4</v>
      </c>
    </row>
    <row r="159" spans="1:7">
      <c r="A159" s="540" t="s">
        <v>1477</v>
      </c>
      <c r="B159" s="152" t="s">
        <v>1478</v>
      </c>
      <c r="C159" s="152">
        <v>1000</v>
      </c>
      <c r="D159" s="152"/>
      <c r="E159" s="152">
        <f t="shared" si="8"/>
        <v>0</v>
      </c>
      <c r="F159" s="152">
        <v>1000</v>
      </c>
      <c r="G159" s="563">
        <f t="shared" si="7"/>
        <v>3.7143446131788664E-4</v>
      </c>
    </row>
    <row r="160" spans="1:7">
      <c r="A160" s="540" t="s">
        <v>1487</v>
      </c>
      <c r="B160" s="152" t="s">
        <v>1488</v>
      </c>
      <c r="C160" s="152">
        <v>1000</v>
      </c>
      <c r="D160" s="152"/>
      <c r="E160" s="152">
        <f t="shared" si="8"/>
        <v>0</v>
      </c>
      <c r="F160" s="152">
        <v>1000</v>
      </c>
      <c r="G160" s="563">
        <f t="shared" si="7"/>
        <v>3.7143446131788664E-4</v>
      </c>
    </row>
    <row r="161" spans="1:7">
      <c r="A161" s="540" t="s">
        <v>1489</v>
      </c>
      <c r="B161" s="152" t="s">
        <v>1490</v>
      </c>
      <c r="C161" s="152">
        <v>1000</v>
      </c>
      <c r="D161" s="152"/>
      <c r="E161" s="152">
        <f t="shared" si="8"/>
        <v>0</v>
      </c>
      <c r="F161" s="152">
        <v>1000</v>
      </c>
      <c r="G161" s="563">
        <f t="shared" si="7"/>
        <v>3.7143446131788664E-4</v>
      </c>
    </row>
    <row r="162" spans="1:7">
      <c r="A162" s="540" t="s">
        <v>1493</v>
      </c>
      <c r="B162" s="152" t="s">
        <v>1494</v>
      </c>
      <c r="C162" s="152">
        <v>1000</v>
      </c>
      <c r="D162" s="152"/>
      <c r="E162" s="152">
        <f t="shared" si="8"/>
        <v>0</v>
      </c>
      <c r="F162" s="152">
        <v>1000</v>
      </c>
      <c r="G162" s="563">
        <f t="shared" si="7"/>
        <v>3.7143446131788664E-4</v>
      </c>
    </row>
    <row r="163" spans="1:7">
      <c r="A163" s="540" t="s">
        <v>1501</v>
      </c>
      <c r="B163" s="152" t="s">
        <v>1502</v>
      </c>
      <c r="C163" s="152">
        <v>1000</v>
      </c>
      <c r="D163" s="152"/>
      <c r="E163" s="152">
        <f t="shared" si="8"/>
        <v>0</v>
      </c>
      <c r="F163" s="152">
        <v>1000</v>
      </c>
      <c r="G163" s="563">
        <f t="shared" si="7"/>
        <v>3.7143446131788664E-4</v>
      </c>
    </row>
    <row r="164" spans="1:7">
      <c r="A164" s="540" t="s">
        <v>1507</v>
      </c>
      <c r="B164" s="152" t="s">
        <v>1508</v>
      </c>
      <c r="C164" s="152">
        <v>1000</v>
      </c>
      <c r="D164" s="152"/>
      <c r="E164" s="152">
        <f t="shared" si="8"/>
        <v>0</v>
      </c>
      <c r="F164" s="152">
        <v>1000</v>
      </c>
      <c r="G164" s="563">
        <f t="shared" si="7"/>
        <v>3.7143446131788664E-4</v>
      </c>
    </row>
    <row r="165" spans="1:7">
      <c r="A165" s="540" t="s">
        <v>1509</v>
      </c>
      <c r="B165" s="152" t="s">
        <v>1510</v>
      </c>
      <c r="C165" s="152">
        <v>1000</v>
      </c>
      <c r="D165" s="152"/>
      <c r="E165" s="152">
        <f t="shared" si="8"/>
        <v>0</v>
      </c>
      <c r="F165" s="152">
        <v>1000</v>
      </c>
      <c r="G165" s="563">
        <f t="shared" si="7"/>
        <v>3.7143446131788664E-4</v>
      </c>
    </row>
    <row r="166" spans="1:7">
      <c r="A166" s="540" t="s">
        <v>1519</v>
      </c>
      <c r="B166" s="152" t="s">
        <v>1520</v>
      </c>
      <c r="C166" s="152">
        <v>1000</v>
      </c>
      <c r="D166" s="152"/>
      <c r="E166" s="152">
        <f t="shared" si="8"/>
        <v>0</v>
      </c>
      <c r="F166" s="152">
        <v>1000</v>
      </c>
      <c r="G166" s="563">
        <f t="shared" si="7"/>
        <v>3.7143446131788664E-4</v>
      </c>
    </row>
    <row r="167" spans="1:7">
      <c r="A167" s="540" t="s">
        <v>1523</v>
      </c>
      <c r="B167" s="152" t="s">
        <v>1524</v>
      </c>
      <c r="C167" s="152">
        <v>1000</v>
      </c>
      <c r="D167" s="152"/>
      <c r="E167" s="152">
        <f t="shared" si="8"/>
        <v>0</v>
      </c>
      <c r="F167" s="152">
        <v>1000</v>
      </c>
      <c r="G167" s="563">
        <f t="shared" si="7"/>
        <v>3.7143446131788664E-4</v>
      </c>
    </row>
    <row r="168" spans="1:7">
      <c r="A168" s="540" t="s">
        <v>1529</v>
      </c>
      <c r="B168" s="152" t="s">
        <v>1530</v>
      </c>
      <c r="C168" s="152">
        <v>1000</v>
      </c>
      <c r="D168" s="152"/>
      <c r="E168" s="152">
        <f t="shared" si="8"/>
        <v>0</v>
      </c>
      <c r="F168" s="152">
        <v>1000</v>
      </c>
      <c r="G168" s="563">
        <f t="shared" si="7"/>
        <v>3.7143446131788664E-4</v>
      </c>
    </row>
    <row r="169" spans="1:7">
      <c r="A169" s="540" t="s">
        <v>1535</v>
      </c>
      <c r="B169" s="152" t="s">
        <v>1536</v>
      </c>
      <c r="C169" s="152">
        <v>1000</v>
      </c>
      <c r="D169" s="152"/>
      <c r="E169" s="152">
        <f t="shared" si="8"/>
        <v>0</v>
      </c>
      <c r="F169" s="152">
        <v>1000</v>
      </c>
      <c r="G169" s="563">
        <f t="shared" si="7"/>
        <v>3.7143446131788664E-4</v>
      </c>
    </row>
    <row r="170" spans="1:7">
      <c r="A170" s="540" t="s">
        <v>1537</v>
      </c>
      <c r="B170" s="152" t="s">
        <v>1538</v>
      </c>
      <c r="C170" s="152">
        <v>1000</v>
      </c>
      <c r="D170" s="152"/>
      <c r="E170" s="152">
        <f t="shared" si="8"/>
        <v>0</v>
      </c>
      <c r="F170" s="152">
        <v>1000</v>
      </c>
      <c r="G170" s="563">
        <f t="shared" si="7"/>
        <v>3.7143446131788664E-4</v>
      </c>
    </row>
    <row r="171" spans="1:7">
      <c r="A171" s="540" t="s">
        <v>1547</v>
      </c>
      <c r="B171" s="152" t="s">
        <v>1548</v>
      </c>
      <c r="C171" s="152">
        <v>1000</v>
      </c>
      <c r="D171" s="152"/>
      <c r="E171" s="152">
        <f t="shared" si="8"/>
        <v>0</v>
      </c>
      <c r="F171" s="152">
        <v>1000</v>
      </c>
      <c r="G171" s="563">
        <f t="shared" si="7"/>
        <v>3.7143446131788664E-4</v>
      </c>
    </row>
    <row r="172" spans="1:7">
      <c r="A172" s="540" t="s">
        <v>1549</v>
      </c>
      <c r="B172" s="152" t="s">
        <v>1550</v>
      </c>
      <c r="C172" s="152">
        <v>1000</v>
      </c>
      <c r="D172" s="152"/>
      <c r="E172" s="152">
        <f t="shared" si="8"/>
        <v>0</v>
      </c>
      <c r="F172" s="152">
        <v>1000</v>
      </c>
      <c r="G172" s="563">
        <f t="shared" si="7"/>
        <v>3.7143446131788664E-4</v>
      </c>
    </row>
    <row r="173" spans="1:7">
      <c r="A173" s="540" t="s">
        <v>1551</v>
      </c>
      <c r="B173" s="152" t="s">
        <v>1552</v>
      </c>
      <c r="C173" s="152">
        <v>1000</v>
      </c>
      <c r="D173" s="152"/>
      <c r="E173" s="152">
        <f t="shared" si="8"/>
        <v>0</v>
      </c>
      <c r="F173" s="152">
        <v>1000</v>
      </c>
      <c r="G173" s="563">
        <f t="shared" si="7"/>
        <v>3.7143446131788664E-4</v>
      </c>
    </row>
    <row r="174" spans="1:7">
      <c r="A174" s="540" t="s">
        <v>1555</v>
      </c>
      <c r="B174" s="152" t="s">
        <v>1556</v>
      </c>
      <c r="C174" s="152">
        <v>1000</v>
      </c>
      <c r="D174" s="152"/>
      <c r="E174" s="152">
        <f t="shared" si="8"/>
        <v>0</v>
      </c>
      <c r="F174" s="152">
        <v>1000</v>
      </c>
      <c r="G174" s="563">
        <f t="shared" si="7"/>
        <v>3.7143446131788664E-4</v>
      </c>
    </row>
    <row r="175" spans="1:7">
      <c r="A175" s="540" t="s">
        <v>1559</v>
      </c>
      <c r="B175" s="152" t="s">
        <v>1560</v>
      </c>
      <c r="C175" s="152">
        <v>1000</v>
      </c>
      <c r="D175" s="152"/>
      <c r="E175" s="152">
        <f t="shared" si="8"/>
        <v>0</v>
      </c>
      <c r="F175" s="152">
        <v>1000</v>
      </c>
      <c r="G175" s="563">
        <f t="shared" si="7"/>
        <v>3.7143446131788664E-4</v>
      </c>
    </row>
    <row r="176" spans="1:7">
      <c r="A176" s="540" t="s">
        <v>1569</v>
      </c>
      <c r="B176" s="152" t="s">
        <v>1570</v>
      </c>
      <c r="C176" s="152">
        <v>1000</v>
      </c>
      <c r="D176" s="152"/>
      <c r="E176" s="152">
        <f t="shared" si="8"/>
        <v>0</v>
      </c>
      <c r="F176" s="152">
        <v>1000</v>
      </c>
      <c r="G176" s="563">
        <f t="shared" si="7"/>
        <v>3.7143446131788664E-4</v>
      </c>
    </row>
    <row r="177" spans="1:7">
      <c r="A177" s="540" t="s">
        <v>1571</v>
      </c>
      <c r="B177" s="152" t="s">
        <v>1572</v>
      </c>
      <c r="C177" s="152">
        <v>1000</v>
      </c>
      <c r="D177" s="152"/>
      <c r="E177" s="152">
        <f t="shared" si="8"/>
        <v>0</v>
      </c>
      <c r="F177" s="152">
        <v>1000</v>
      </c>
      <c r="G177" s="563">
        <f t="shared" si="7"/>
        <v>3.7143446131788664E-4</v>
      </c>
    </row>
    <row r="178" spans="1:7">
      <c r="A178" s="540" t="s">
        <v>1573</v>
      </c>
      <c r="B178" s="152" t="s">
        <v>1574</v>
      </c>
      <c r="C178" s="152">
        <v>1000</v>
      </c>
      <c r="D178" s="152"/>
      <c r="E178" s="152">
        <f t="shared" si="8"/>
        <v>0</v>
      </c>
      <c r="F178" s="152">
        <v>1000</v>
      </c>
      <c r="G178" s="563">
        <f t="shared" si="7"/>
        <v>3.7143446131788664E-4</v>
      </c>
    </row>
    <row r="179" spans="1:7">
      <c r="A179" s="540" t="s">
        <v>1575</v>
      </c>
      <c r="B179" s="152" t="s">
        <v>1576</v>
      </c>
      <c r="C179" s="152">
        <v>1000</v>
      </c>
      <c r="D179" s="152"/>
      <c r="E179" s="152">
        <f t="shared" si="8"/>
        <v>0</v>
      </c>
      <c r="F179" s="152">
        <v>1000</v>
      </c>
      <c r="G179" s="563">
        <f t="shared" si="7"/>
        <v>3.7143446131788664E-4</v>
      </c>
    </row>
    <row r="180" spans="1:7">
      <c r="A180" s="540" t="s">
        <v>1583</v>
      </c>
      <c r="B180" s="152" t="s">
        <v>1584</v>
      </c>
      <c r="C180" s="152">
        <v>1000</v>
      </c>
      <c r="D180" s="152"/>
      <c r="E180" s="152">
        <f t="shared" si="8"/>
        <v>0</v>
      </c>
      <c r="F180" s="152">
        <v>1000</v>
      </c>
      <c r="G180" s="563">
        <f t="shared" si="7"/>
        <v>3.7143446131788664E-4</v>
      </c>
    </row>
    <row r="181" spans="1:7">
      <c r="A181" s="540" t="s">
        <v>1610</v>
      </c>
      <c r="B181" s="152" t="s">
        <v>1611</v>
      </c>
      <c r="C181" s="152">
        <v>1000</v>
      </c>
      <c r="D181" s="152"/>
      <c r="E181" s="152">
        <f t="shared" si="8"/>
        <v>0</v>
      </c>
      <c r="F181" s="152">
        <v>1000</v>
      </c>
      <c r="G181" s="563">
        <f t="shared" si="7"/>
        <v>3.7143446131788664E-4</v>
      </c>
    </row>
    <row r="182" spans="1:7">
      <c r="A182" s="540" t="s">
        <v>2290</v>
      </c>
      <c r="B182" s="152" t="s">
        <v>2291</v>
      </c>
      <c r="C182" s="152">
        <v>0</v>
      </c>
      <c r="D182" s="152">
        <v>1000</v>
      </c>
      <c r="E182" s="152">
        <v>0</v>
      </c>
      <c r="F182" s="152">
        <v>1000</v>
      </c>
      <c r="G182" s="563">
        <f t="shared" si="7"/>
        <v>3.7143446131788664E-4</v>
      </c>
    </row>
    <row r="183" spans="1:7">
      <c r="A183" s="540" t="s">
        <v>1626</v>
      </c>
      <c r="B183" s="152" t="s">
        <v>1621</v>
      </c>
      <c r="C183" s="152">
        <v>1000</v>
      </c>
      <c r="D183" s="152"/>
      <c r="E183" s="152">
        <f t="shared" ref="E183:E214" si="9">C183-F183</f>
        <v>0</v>
      </c>
      <c r="F183" s="152">
        <v>1000</v>
      </c>
      <c r="G183" s="563">
        <f t="shared" si="7"/>
        <v>3.7143446131788664E-4</v>
      </c>
    </row>
    <row r="184" spans="1:7">
      <c r="A184" s="540" t="s">
        <v>1629</v>
      </c>
      <c r="B184" s="152" t="s">
        <v>1630</v>
      </c>
      <c r="C184" s="152">
        <v>1000</v>
      </c>
      <c r="D184" s="152"/>
      <c r="E184" s="152">
        <f t="shared" si="9"/>
        <v>0</v>
      </c>
      <c r="F184" s="152">
        <v>1000</v>
      </c>
      <c r="G184" s="563">
        <f t="shared" si="7"/>
        <v>3.7143446131788664E-4</v>
      </c>
    </row>
    <row r="185" spans="1:7">
      <c r="A185" s="540" t="s">
        <v>1278</v>
      </c>
      <c r="B185" s="152" t="s">
        <v>1279</v>
      </c>
      <c r="C185" s="152">
        <v>1000</v>
      </c>
      <c r="D185" s="152"/>
      <c r="E185" s="152">
        <f t="shared" si="9"/>
        <v>0</v>
      </c>
      <c r="F185" s="152">
        <v>1000</v>
      </c>
      <c r="G185" s="563">
        <f t="shared" si="7"/>
        <v>3.7143446131788664E-4</v>
      </c>
    </row>
    <row r="186" spans="1:7">
      <c r="A186" s="540" t="s">
        <v>1633</v>
      </c>
      <c r="B186" s="152" t="s">
        <v>1634</v>
      </c>
      <c r="C186" s="152">
        <v>1000</v>
      </c>
      <c r="D186" s="152"/>
      <c r="E186" s="152">
        <f t="shared" si="9"/>
        <v>0</v>
      </c>
      <c r="F186" s="152">
        <v>1000</v>
      </c>
      <c r="G186" s="563">
        <f t="shared" si="7"/>
        <v>3.7143446131788664E-4</v>
      </c>
    </row>
    <row r="187" spans="1:7">
      <c r="A187" s="540" t="s">
        <v>1635</v>
      </c>
      <c r="B187" s="152" t="s">
        <v>1636</v>
      </c>
      <c r="C187" s="152">
        <v>1000</v>
      </c>
      <c r="D187" s="152"/>
      <c r="E187" s="152">
        <f t="shared" si="9"/>
        <v>0</v>
      </c>
      <c r="F187" s="152">
        <v>1000</v>
      </c>
      <c r="G187" s="563">
        <f t="shared" si="7"/>
        <v>3.7143446131788664E-4</v>
      </c>
    </row>
    <row r="188" spans="1:7">
      <c r="A188" s="540" t="s">
        <v>1639</v>
      </c>
      <c r="B188" s="152" t="s">
        <v>1640</v>
      </c>
      <c r="C188" s="152">
        <v>1000</v>
      </c>
      <c r="D188" s="152"/>
      <c r="E188" s="152">
        <f t="shared" si="9"/>
        <v>0</v>
      </c>
      <c r="F188" s="152">
        <v>1000</v>
      </c>
      <c r="G188" s="563">
        <f t="shared" si="7"/>
        <v>3.7143446131788664E-4</v>
      </c>
    </row>
    <row r="189" spans="1:7">
      <c r="A189" s="540" t="s">
        <v>1643</v>
      </c>
      <c r="B189" s="152" t="s">
        <v>1644</v>
      </c>
      <c r="C189" s="152">
        <v>1000</v>
      </c>
      <c r="D189" s="152"/>
      <c r="E189" s="152">
        <f t="shared" si="9"/>
        <v>0</v>
      </c>
      <c r="F189" s="152">
        <v>1000</v>
      </c>
      <c r="G189" s="563">
        <f t="shared" si="7"/>
        <v>3.7143446131788664E-4</v>
      </c>
    </row>
    <row r="190" spans="1:7">
      <c r="A190" s="540" t="s">
        <v>1653</v>
      </c>
      <c r="B190" s="152" t="s">
        <v>1654</v>
      </c>
      <c r="C190" s="152">
        <v>1000</v>
      </c>
      <c r="D190" s="152"/>
      <c r="E190" s="152">
        <f t="shared" si="9"/>
        <v>0</v>
      </c>
      <c r="F190" s="152">
        <v>1000</v>
      </c>
      <c r="G190" s="563">
        <f t="shared" si="7"/>
        <v>3.7143446131788664E-4</v>
      </c>
    </row>
    <row r="191" spans="1:7">
      <c r="A191" s="540" t="s">
        <v>1663</v>
      </c>
      <c r="B191" s="152" t="s">
        <v>1664</v>
      </c>
      <c r="C191" s="152">
        <v>1000</v>
      </c>
      <c r="D191" s="152"/>
      <c r="E191" s="152">
        <f t="shared" si="9"/>
        <v>0</v>
      </c>
      <c r="F191" s="152">
        <v>1000</v>
      </c>
      <c r="G191" s="563">
        <f t="shared" si="7"/>
        <v>3.7143446131788664E-4</v>
      </c>
    </row>
    <row r="192" spans="1:7">
      <c r="A192" s="540" t="s">
        <v>1671</v>
      </c>
      <c r="B192" s="152" t="s">
        <v>1672</v>
      </c>
      <c r="C192" s="152">
        <v>1000</v>
      </c>
      <c r="D192" s="152"/>
      <c r="E192" s="152">
        <f t="shared" si="9"/>
        <v>0</v>
      </c>
      <c r="F192" s="152">
        <v>1000</v>
      </c>
      <c r="G192" s="563">
        <f t="shared" si="7"/>
        <v>3.7143446131788664E-4</v>
      </c>
    </row>
    <row r="193" spans="1:7">
      <c r="A193" s="540" t="s">
        <v>1675</v>
      </c>
      <c r="B193" s="152" t="s">
        <v>1676</v>
      </c>
      <c r="C193" s="152">
        <v>1000</v>
      </c>
      <c r="D193" s="152"/>
      <c r="E193" s="152">
        <f t="shared" si="9"/>
        <v>0</v>
      </c>
      <c r="F193" s="152">
        <v>1000</v>
      </c>
      <c r="G193" s="563">
        <f t="shared" si="7"/>
        <v>3.7143446131788664E-4</v>
      </c>
    </row>
    <row r="194" spans="1:7">
      <c r="A194" s="540" t="s">
        <v>1685</v>
      </c>
      <c r="B194" s="152" t="s">
        <v>1686</v>
      </c>
      <c r="C194" s="152">
        <v>1000</v>
      </c>
      <c r="D194" s="152"/>
      <c r="E194" s="152">
        <f t="shared" si="9"/>
        <v>0</v>
      </c>
      <c r="F194" s="152">
        <v>1000</v>
      </c>
      <c r="G194" s="563">
        <f t="shared" si="7"/>
        <v>3.7143446131788664E-4</v>
      </c>
    </row>
    <row r="195" spans="1:7">
      <c r="A195" s="540" t="s">
        <v>1693</v>
      </c>
      <c r="B195" s="152" t="s">
        <v>1694</v>
      </c>
      <c r="C195" s="152">
        <v>1000</v>
      </c>
      <c r="D195" s="152"/>
      <c r="E195" s="152">
        <f t="shared" si="9"/>
        <v>0</v>
      </c>
      <c r="F195" s="152">
        <v>1000</v>
      </c>
      <c r="G195" s="563">
        <f t="shared" si="7"/>
        <v>3.7143446131788664E-4</v>
      </c>
    </row>
    <row r="196" spans="1:7">
      <c r="A196" s="540" t="s">
        <v>1699</v>
      </c>
      <c r="B196" s="152" t="s">
        <v>1700</v>
      </c>
      <c r="C196" s="152">
        <v>1000</v>
      </c>
      <c r="D196" s="152"/>
      <c r="E196" s="152">
        <f t="shared" si="9"/>
        <v>0</v>
      </c>
      <c r="F196" s="152">
        <v>1000</v>
      </c>
      <c r="G196" s="563">
        <f t="shared" ref="G196:G259" si="10">+F196/$F$427</f>
        <v>3.7143446131788664E-4</v>
      </c>
    </row>
    <row r="197" spans="1:7">
      <c r="A197" s="540" t="s">
        <v>1703</v>
      </c>
      <c r="B197" s="152" t="s">
        <v>1704</v>
      </c>
      <c r="C197" s="152">
        <v>1000</v>
      </c>
      <c r="D197" s="152"/>
      <c r="E197" s="152">
        <f t="shared" si="9"/>
        <v>0</v>
      </c>
      <c r="F197" s="152">
        <v>1000</v>
      </c>
      <c r="G197" s="563">
        <f t="shared" si="10"/>
        <v>3.7143446131788664E-4</v>
      </c>
    </row>
    <row r="198" spans="1:7">
      <c r="A198" s="540" t="s">
        <v>1707</v>
      </c>
      <c r="B198" s="152" t="s">
        <v>1708</v>
      </c>
      <c r="C198" s="152">
        <v>1000</v>
      </c>
      <c r="D198" s="152"/>
      <c r="E198" s="152">
        <f t="shared" si="9"/>
        <v>0</v>
      </c>
      <c r="F198" s="152">
        <v>1000</v>
      </c>
      <c r="G198" s="563">
        <f t="shared" si="10"/>
        <v>3.7143446131788664E-4</v>
      </c>
    </row>
    <row r="199" spans="1:7">
      <c r="A199" s="540" t="s">
        <v>1709</v>
      </c>
      <c r="B199" s="152" t="s">
        <v>1710</v>
      </c>
      <c r="C199" s="152">
        <v>1000</v>
      </c>
      <c r="D199" s="152"/>
      <c r="E199" s="152">
        <f t="shared" si="9"/>
        <v>0</v>
      </c>
      <c r="F199" s="152">
        <v>1000</v>
      </c>
      <c r="G199" s="563">
        <f t="shared" si="10"/>
        <v>3.7143446131788664E-4</v>
      </c>
    </row>
    <row r="200" spans="1:7">
      <c r="A200" s="540" t="s">
        <v>1717</v>
      </c>
      <c r="B200" s="152" t="s">
        <v>1718</v>
      </c>
      <c r="C200" s="152">
        <v>1000</v>
      </c>
      <c r="D200" s="152"/>
      <c r="E200" s="152">
        <f t="shared" si="9"/>
        <v>0</v>
      </c>
      <c r="F200" s="152">
        <v>1000</v>
      </c>
      <c r="G200" s="563">
        <f t="shared" si="10"/>
        <v>3.7143446131788664E-4</v>
      </c>
    </row>
    <row r="201" spans="1:7">
      <c r="A201" s="540" t="s">
        <v>1724</v>
      </c>
      <c r="B201" s="152" t="s">
        <v>1725</v>
      </c>
      <c r="C201" s="152">
        <v>1000</v>
      </c>
      <c r="D201" s="152"/>
      <c r="E201" s="152">
        <f t="shared" si="9"/>
        <v>0</v>
      </c>
      <c r="F201" s="152">
        <v>1000</v>
      </c>
      <c r="G201" s="563">
        <f t="shared" si="10"/>
        <v>3.7143446131788664E-4</v>
      </c>
    </row>
    <row r="202" spans="1:7">
      <c r="A202" s="540" t="s">
        <v>1734</v>
      </c>
      <c r="B202" s="152" t="s">
        <v>1735</v>
      </c>
      <c r="C202" s="152">
        <v>1000</v>
      </c>
      <c r="D202" s="152"/>
      <c r="E202" s="152">
        <f t="shared" si="9"/>
        <v>0</v>
      </c>
      <c r="F202" s="152">
        <v>1000</v>
      </c>
      <c r="G202" s="563">
        <f t="shared" si="10"/>
        <v>3.7143446131788664E-4</v>
      </c>
    </row>
    <row r="203" spans="1:7">
      <c r="A203" s="540" t="s">
        <v>1736</v>
      </c>
      <c r="B203" s="152" t="s">
        <v>1737</v>
      </c>
      <c r="C203" s="152">
        <v>1000</v>
      </c>
      <c r="D203" s="152"/>
      <c r="E203" s="152">
        <f t="shared" si="9"/>
        <v>0</v>
      </c>
      <c r="F203" s="152">
        <v>1000</v>
      </c>
      <c r="G203" s="563">
        <f t="shared" si="10"/>
        <v>3.7143446131788664E-4</v>
      </c>
    </row>
    <row r="204" spans="1:7">
      <c r="A204" s="540" t="s">
        <v>1738</v>
      </c>
      <c r="B204" s="152" t="s">
        <v>1739</v>
      </c>
      <c r="C204" s="152">
        <v>1000</v>
      </c>
      <c r="D204" s="152"/>
      <c r="E204" s="152">
        <f t="shared" si="9"/>
        <v>0</v>
      </c>
      <c r="F204" s="152">
        <v>1000</v>
      </c>
      <c r="G204" s="563">
        <f t="shared" si="10"/>
        <v>3.7143446131788664E-4</v>
      </c>
    </row>
    <row r="205" spans="1:7">
      <c r="A205" s="540" t="s">
        <v>1748</v>
      </c>
      <c r="B205" s="152" t="s">
        <v>1749</v>
      </c>
      <c r="C205" s="152">
        <v>1000</v>
      </c>
      <c r="D205" s="152"/>
      <c r="E205" s="152">
        <f t="shared" si="9"/>
        <v>0</v>
      </c>
      <c r="F205" s="152">
        <v>1000</v>
      </c>
      <c r="G205" s="563">
        <f t="shared" si="10"/>
        <v>3.7143446131788664E-4</v>
      </c>
    </row>
    <row r="206" spans="1:7">
      <c r="A206" s="540" t="s">
        <v>1756</v>
      </c>
      <c r="B206" s="152" t="s">
        <v>1757</v>
      </c>
      <c r="C206" s="152">
        <v>1000</v>
      </c>
      <c r="D206" s="152"/>
      <c r="E206" s="152">
        <f t="shared" si="9"/>
        <v>0</v>
      </c>
      <c r="F206" s="152">
        <v>1000</v>
      </c>
      <c r="G206" s="563">
        <f t="shared" si="10"/>
        <v>3.7143446131788664E-4</v>
      </c>
    </row>
    <row r="207" spans="1:7">
      <c r="A207" s="540" t="s">
        <v>1768</v>
      </c>
      <c r="B207" s="152" t="s">
        <v>1769</v>
      </c>
      <c r="C207" s="152">
        <v>1000</v>
      </c>
      <c r="D207" s="152"/>
      <c r="E207" s="152">
        <f t="shared" si="9"/>
        <v>0</v>
      </c>
      <c r="F207" s="152">
        <v>1000</v>
      </c>
      <c r="G207" s="563">
        <f t="shared" si="10"/>
        <v>3.7143446131788664E-4</v>
      </c>
    </row>
    <row r="208" spans="1:7">
      <c r="A208" s="540" t="s">
        <v>1770</v>
      </c>
      <c r="B208" s="152" t="s">
        <v>1771</v>
      </c>
      <c r="C208" s="152">
        <v>1000</v>
      </c>
      <c r="D208" s="152"/>
      <c r="E208" s="152">
        <f t="shared" si="9"/>
        <v>0</v>
      </c>
      <c r="F208" s="152">
        <v>1000</v>
      </c>
      <c r="G208" s="563">
        <f t="shared" si="10"/>
        <v>3.7143446131788664E-4</v>
      </c>
    </row>
    <row r="209" spans="1:7">
      <c r="A209" s="540" t="s">
        <v>1788</v>
      </c>
      <c r="B209" s="152" t="s">
        <v>1789</v>
      </c>
      <c r="C209" s="152">
        <v>1000</v>
      </c>
      <c r="D209" s="152"/>
      <c r="E209" s="152">
        <f t="shared" si="9"/>
        <v>0</v>
      </c>
      <c r="F209" s="152">
        <v>1000</v>
      </c>
      <c r="G209" s="563">
        <f t="shared" si="10"/>
        <v>3.7143446131788664E-4</v>
      </c>
    </row>
    <row r="210" spans="1:7">
      <c r="A210" s="540" t="s">
        <v>1790</v>
      </c>
      <c r="B210" s="152" t="s">
        <v>1791</v>
      </c>
      <c r="C210" s="152">
        <v>1000</v>
      </c>
      <c r="D210" s="152"/>
      <c r="E210" s="152">
        <f t="shared" si="9"/>
        <v>0</v>
      </c>
      <c r="F210" s="152">
        <v>1000</v>
      </c>
      <c r="G210" s="563">
        <f t="shared" si="10"/>
        <v>3.7143446131788664E-4</v>
      </c>
    </row>
    <row r="211" spans="1:7">
      <c r="A211" s="540" t="s">
        <v>1792</v>
      </c>
      <c r="B211" s="152" t="s">
        <v>1793</v>
      </c>
      <c r="C211" s="152">
        <v>1000</v>
      </c>
      <c r="D211" s="152"/>
      <c r="E211" s="152">
        <f t="shared" si="9"/>
        <v>0</v>
      </c>
      <c r="F211" s="152">
        <v>1000</v>
      </c>
      <c r="G211" s="563">
        <f t="shared" si="10"/>
        <v>3.7143446131788664E-4</v>
      </c>
    </row>
    <row r="212" spans="1:7">
      <c r="A212" s="540" t="s">
        <v>1800</v>
      </c>
      <c r="B212" s="152" t="s">
        <v>1801</v>
      </c>
      <c r="C212" s="152">
        <v>1000</v>
      </c>
      <c r="D212" s="152"/>
      <c r="E212" s="152">
        <f t="shared" si="9"/>
        <v>0</v>
      </c>
      <c r="F212" s="152">
        <v>1000</v>
      </c>
      <c r="G212" s="563">
        <f t="shared" si="10"/>
        <v>3.7143446131788664E-4</v>
      </c>
    </row>
    <row r="213" spans="1:7">
      <c r="A213" s="540" t="s">
        <v>1804</v>
      </c>
      <c r="B213" s="152" t="s">
        <v>1805</v>
      </c>
      <c r="C213" s="152">
        <v>1000</v>
      </c>
      <c r="D213" s="152"/>
      <c r="E213" s="152">
        <f t="shared" si="9"/>
        <v>0</v>
      </c>
      <c r="F213" s="152">
        <v>1000</v>
      </c>
      <c r="G213" s="563">
        <f t="shared" si="10"/>
        <v>3.7143446131788664E-4</v>
      </c>
    </row>
    <row r="214" spans="1:7">
      <c r="A214" s="540" t="s">
        <v>1810</v>
      </c>
      <c r="B214" s="152" t="s">
        <v>1811</v>
      </c>
      <c r="C214" s="152">
        <v>1000</v>
      </c>
      <c r="D214" s="152"/>
      <c r="E214" s="152">
        <f t="shared" si="9"/>
        <v>0</v>
      </c>
      <c r="F214" s="152">
        <v>1000</v>
      </c>
      <c r="G214" s="563">
        <f t="shared" si="10"/>
        <v>3.7143446131788664E-4</v>
      </c>
    </row>
    <row r="215" spans="1:7">
      <c r="A215" s="540" t="s">
        <v>1812</v>
      </c>
      <c r="B215" s="152" t="s">
        <v>1813</v>
      </c>
      <c r="C215" s="152">
        <v>1000</v>
      </c>
      <c r="D215" s="152"/>
      <c r="E215" s="152">
        <f t="shared" ref="E215:E246" si="11">C215-F215</f>
        <v>0</v>
      </c>
      <c r="F215" s="152">
        <v>1000</v>
      </c>
      <c r="G215" s="563">
        <f t="shared" si="10"/>
        <v>3.7143446131788664E-4</v>
      </c>
    </row>
    <row r="216" spans="1:7">
      <c r="A216" s="540" t="s">
        <v>1814</v>
      </c>
      <c r="B216" s="152" t="s">
        <v>1815</v>
      </c>
      <c r="C216" s="152">
        <v>1000</v>
      </c>
      <c r="D216" s="152"/>
      <c r="E216" s="152">
        <f t="shared" si="11"/>
        <v>0</v>
      </c>
      <c r="F216" s="152">
        <v>1000</v>
      </c>
      <c r="G216" s="563">
        <f t="shared" si="10"/>
        <v>3.7143446131788664E-4</v>
      </c>
    </row>
    <row r="217" spans="1:7">
      <c r="A217" s="540" t="s">
        <v>1818</v>
      </c>
      <c r="B217" s="152" t="s">
        <v>1819</v>
      </c>
      <c r="C217" s="152">
        <v>1000</v>
      </c>
      <c r="D217" s="152"/>
      <c r="E217" s="152">
        <f t="shared" si="11"/>
        <v>0</v>
      </c>
      <c r="F217" s="152">
        <v>1000</v>
      </c>
      <c r="G217" s="563">
        <f t="shared" si="10"/>
        <v>3.7143446131788664E-4</v>
      </c>
    </row>
    <row r="218" spans="1:7">
      <c r="A218" s="540" t="s">
        <v>1830</v>
      </c>
      <c r="B218" s="152" t="s">
        <v>1831</v>
      </c>
      <c r="C218" s="152">
        <v>1000</v>
      </c>
      <c r="D218" s="152"/>
      <c r="E218" s="152">
        <f t="shared" si="11"/>
        <v>0</v>
      </c>
      <c r="F218" s="152">
        <v>1000</v>
      </c>
      <c r="G218" s="563">
        <f t="shared" si="10"/>
        <v>3.7143446131788664E-4</v>
      </c>
    </row>
    <row r="219" spans="1:7">
      <c r="A219" s="540" t="s">
        <v>1834</v>
      </c>
      <c r="B219" s="152" t="s">
        <v>1835</v>
      </c>
      <c r="C219" s="152">
        <v>1000</v>
      </c>
      <c r="D219" s="152"/>
      <c r="E219" s="152">
        <f t="shared" si="11"/>
        <v>0</v>
      </c>
      <c r="F219" s="152">
        <v>1000</v>
      </c>
      <c r="G219" s="563">
        <f t="shared" si="10"/>
        <v>3.7143446131788664E-4</v>
      </c>
    </row>
    <row r="220" spans="1:7">
      <c r="A220" s="540" t="s">
        <v>1836</v>
      </c>
      <c r="B220" s="152" t="s">
        <v>1837</v>
      </c>
      <c r="C220" s="152">
        <v>1000</v>
      </c>
      <c r="D220" s="152"/>
      <c r="E220" s="152">
        <f t="shared" si="11"/>
        <v>0</v>
      </c>
      <c r="F220" s="152">
        <v>1000</v>
      </c>
      <c r="G220" s="563">
        <f t="shared" si="10"/>
        <v>3.7143446131788664E-4</v>
      </c>
    </row>
    <row r="221" spans="1:7">
      <c r="A221" s="540" t="s">
        <v>1840</v>
      </c>
      <c r="B221" s="152" t="s">
        <v>1841</v>
      </c>
      <c r="C221" s="152">
        <v>1000</v>
      </c>
      <c r="D221" s="152"/>
      <c r="E221" s="152">
        <f t="shared" si="11"/>
        <v>0</v>
      </c>
      <c r="F221" s="152">
        <v>1000</v>
      </c>
      <c r="G221" s="563">
        <f t="shared" si="10"/>
        <v>3.7143446131788664E-4</v>
      </c>
    </row>
    <row r="222" spans="1:7">
      <c r="A222" s="540" t="s">
        <v>1842</v>
      </c>
      <c r="B222" s="152" t="s">
        <v>1843</v>
      </c>
      <c r="C222" s="152">
        <v>1000</v>
      </c>
      <c r="D222" s="152"/>
      <c r="E222" s="152">
        <f t="shared" si="11"/>
        <v>0</v>
      </c>
      <c r="F222" s="152">
        <v>1000</v>
      </c>
      <c r="G222" s="563">
        <f t="shared" si="10"/>
        <v>3.7143446131788664E-4</v>
      </c>
    </row>
    <row r="223" spans="1:7">
      <c r="A223" s="540" t="s">
        <v>1844</v>
      </c>
      <c r="B223" s="152" t="s">
        <v>1845</v>
      </c>
      <c r="C223" s="152">
        <v>1000</v>
      </c>
      <c r="D223" s="152"/>
      <c r="E223" s="152">
        <f t="shared" si="11"/>
        <v>0</v>
      </c>
      <c r="F223" s="152">
        <v>1000</v>
      </c>
      <c r="G223" s="563">
        <f t="shared" si="10"/>
        <v>3.7143446131788664E-4</v>
      </c>
    </row>
    <row r="224" spans="1:7">
      <c r="A224" s="540" t="s">
        <v>1846</v>
      </c>
      <c r="B224" s="152" t="s">
        <v>1847</v>
      </c>
      <c r="C224" s="152">
        <v>1000</v>
      </c>
      <c r="D224" s="152"/>
      <c r="E224" s="152">
        <f t="shared" si="11"/>
        <v>0</v>
      </c>
      <c r="F224" s="152">
        <v>1000</v>
      </c>
      <c r="G224" s="563">
        <f t="shared" si="10"/>
        <v>3.7143446131788664E-4</v>
      </c>
    </row>
    <row r="225" spans="1:7">
      <c r="A225" s="540" t="s">
        <v>1860</v>
      </c>
      <c r="B225" s="152" t="s">
        <v>1861</v>
      </c>
      <c r="C225" s="152">
        <v>1000</v>
      </c>
      <c r="D225" s="152"/>
      <c r="E225" s="152">
        <f t="shared" si="11"/>
        <v>0</v>
      </c>
      <c r="F225" s="152">
        <v>1000</v>
      </c>
      <c r="G225" s="563">
        <f t="shared" si="10"/>
        <v>3.7143446131788664E-4</v>
      </c>
    </row>
    <row r="226" spans="1:7">
      <c r="A226" s="540" t="s">
        <v>1862</v>
      </c>
      <c r="B226" s="152" t="s">
        <v>1863</v>
      </c>
      <c r="C226" s="152">
        <v>1000</v>
      </c>
      <c r="D226" s="152"/>
      <c r="E226" s="152">
        <f t="shared" si="11"/>
        <v>0</v>
      </c>
      <c r="F226" s="152">
        <v>1000</v>
      </c>
      <c r="G226" s="563">
        <f t="shared" si="10"/>
        <v>3.7143446131788664E-4</v>
      </c>
    </row>
    <row r="227" spans="1:7">
      <c r="A227" s="540" t="s">
        <v>1868</v>
      </c>
      <c r="B227" s="152" t="s">
        <v>1869</v>
      </c>
      <c r="C227" s="152">
        <v>1000</v>
      </c>
      <c r="D227" s="152"/>
      <c r="E227" s="152">
        <f t="shared" si="11"/>
        <v>0</v>
      </c>
      <c r="F227" s="152">
        <v>1000</v>
      </c>
      <c r="G227" s="563">
        <f t="shared" si="10"/>
        <v>3.7143446131788664E-4</v>
      </c>
    </row>
    <row r="228" spans="1:7">
      <c r="A228" s="540" t="s">
        <v>1876</v>
      </c>
      <c r="B228" s="152" t="s">
        <v>1877</v>
      </c>
      <c r="C228" s="152">
        <v>1000</v>
      </c>
      <c r="D228" s="152"/>
      <c r="E228" s="152">
        <f t="shared" si="11"/>
        <v>0</v>
      </c>
      <c r="F228" s="152">
        <v>1000</v>
      </c>
      <c r="G228" s="563">
        <f t="shared" si="10"/>
        <v>3.7143446131788664E-4</v>
      </c>
    </row>
    <row r="229" spans="1:7">
      <c r="A229" s="540" t="s">
        <v>1882</v>
      </c>
      <c r="B229" s="152" t="s">
        <v>1883</v>
      </c>
      <c r="C229" s="152">
        <v>1000</v>
      </c>
      <c r="D229" s="152"/>
      <c r="E229" s="152">
        <f t="shared" si="11"/>
        <v>0</v>
      </c>
      <c r="F229" s="152">
        <v>1000</v>
      </c>
      <c r="G229" s="563">
        <f t="shared" si="10"/>
        <v>3.7143446131788664E-4</v>
      </c>
    </row>
    <row r="230" spans="1:7">
      <c r="A230" s="540" t="s">
        <v>1886</v>
      </c>
      <c r="B230" s="152" t="s">
        <v>1887</v>
      </c>
      <c r="C230" s="152">
        <v>1000</v>
      </c>
      <c r="D230" s="152"/>
      <c r="E230" s="152">
        <f t="shared" si="11"/>
        <v>0</v>
      </c>
      <c r="F230" s="152">
        <v>1000</v>
      </c>
      <c r="G230" s="563">
        <f t="shared" si="10"/>
        <v>3.7143446131788664E-4</v>
      </c>
    </row>
    <row r="231" spans="1:7">
      <c r="A231" s="540" t="s">
        <v>1902</v>
      </c>
      <c r="B231" s="152" t="s">
        <v>1903</v>
      </c>
      <c r="C231" s="152">
        <v>1000</v>
      </c>
      <c r="D231" s="152"/>
      <c r="E231" s="152">
        <f t="shared" si="11"/>
        <v>0</v>
      </c>
      <c r="F231" s="152">
        <v>1000</v>
      </c>
      <c r="G231" s="563">
        <f t="shared" si="10"/>
        <v>3.7143446131788664E-4</v>
      </c>
    </row>
    <row r="232" spans="1:7">
      <c r="A232" s="540" t="s">
        <v>1908</v>
      </c>
      <c r="B232" s="152" t="s">
        <v>1909</v>
      </c>
      <c r="C232" s="152">
        <v>1000</v>
      </c>
      <c r="D232" s="152"/>
      <c r="E232" s="152">
        <f t="shared" si="11"/>
        <v>0</v>
      </c>
      <c r="F232" s="152">
        <v>1000</v>
      </c>
      <c r="G232" s="563">
        <f t="shared" si="10"/>
        <v>3.7143446131788664E-4</v>
      </c>
    </row>
    <row r="233" spans="1:7">
      <c r="A233" s="540" t="s">
        <v>1912</v>
      </c>
      <c r="B233" s="152" t="s">
        <v>1913</v>
      </c>
      <c r="C233" s="152">
        <v>1000</v>
      </c>
      <c r="D233" s="152"/>
      <c r="E233" s="152">
        <f t="shared" si="11"/>
        <v>0</v>
      </c>
      <c r="F233" s="152">
        <v>1000</v>
      </c>
      <c r="G233" s="563">
        <f t="shared" si="10"/>
        <v>3.7143446131788664E-4</v>
      </c>
    </row>
    <row r="234" spans="1:7">
      <c r="A234" s="540" t="s">
        <v>1914</v>
      </c>
      <c r="B234" s="152" t="s">
        <v>1915</v>
      </c>
      <c r="C234" s="152">
        <v>1000</v>
      </c>
      <c r="D234" s="152"/>
      <c r="E234" s="152">
        <f t="shared" si="11"/>
        <v>0</v>
      </c>
      <c r="F234" s="152">
        <v>1000</v>
      </c>
      <c r="G234" s="563">
        <f t="shared" si="10"/>
        <v>3.7143446131788664E-4</v>
      </c>
    </row>
    <row r="235" spans="1:7">
      <c r="A235" s="540" t="s">
        <v>1931</v>
      </c>
      <c r="B235" s="152" t="s">
        <v>1932</v>
      </c>
      <c r="C235" s="152">
        <v>1000</v>
      </c>
      <c r="D235" s="152"/>
      <c r="E235" s="152">
        <f t="shared" si="11"/>
        <v>0</v>
      </c>
      <c r="F235" s="152">
        <v>1000</v>
      </c>
      <c r="G235" s="563">
        <f t="shared" si="10"/>
        <v>3.7143446131788664E-4</v>
      </c>
    </row>
    <row r="236" spans="1:7">
      <c r="A236" s="540" t="s">
        <v>1941</v>
      </c>
      <c r="B236" s="152" t="s">
        <v>1942</v>
      </c>
      <c r="C236" s="152">
        <v>1000</v>
      </c>
      <c r="D236" s="152"/>
      <c r="E236" s="152">
        <f t="shared" si="11"/>
        <v>0</v>
      </c>
      <c r="F236" s="152">
        <v>1000</v>
      </c>
      <c r="G236" s="563">
        <f t="shared" si="10"/>
        <v>3.7143446131788664E-4</v>
      </c>
    </row>
    <row r="237" spans="1:7">
      <c r="A237" s="540" t="s">
        <v>1943</v>
      </c>
      <c r="B237" s="152" t="s">
        <v>1944</v>
      </c>
      <c r="C237" s="152">
        <v>1000</v>
      </c>
      <c r="D237" s="152"/>
      <c r="E237" s="152">
        <f t="shared" si="11"/>
        <v>0</v>
      </c>
      <c r="F237" s="152">
        <v>1000</v>
      </c>
      <c r="G237" s="563">
        <f t="shared" si="10"/>
        <v>3.7143446131788664E-4</v>
      </c>
    </row>
    <row r="238" spans="1:7">
      <c r="A238" s="540" t="s">
        <v>1947</v>
      </c>
      <c r="B238" s="152" t="s">
        <v>1948</v>
      </c>
      <c r="C238" s="152">
        <v>1000</v>
      </c>
      <c r="D238" s="152"/>
      <c r="E238" s="152">
        <f t="shared" si="11"/>
        <v>0</v>
      </c>
      <c r="F238" s="152">
        <v>1000</v>
      </c>
      <c r="G238" s="563">
        <f t="shared" si="10"/>
        <v>3.7143446131788664E-4</v>
      </c>
    </row>
    <row r="239" spans="1:7">
      <c r="A239" s="540" t="s">
        <v>1955</v>
      </c>
      <c r="B239" s="152" t="s">
        <v>1956</v>
      </c>
      <c r="C239" s="152">
        <v>1000</v>
      </c>
      <c r="D239" s="152"/>
      <c r="E239" s="152">
        <f t="shared" si="11"/>
        <v>0</v>
      </c>
      <c r="F239" s="152">
        <v>1000</v>
      </c>
      <c r="G239" s="563">
        <f t="shared" si="10"/>
        <v>3.7143446131788664E-4</v>
      </c>
    </row>
    <row r="240" spans="1:7">
      <c r="A240" s="540" t="s">
        <v>1967</v>
      </c>
      <c r="B240" s="152" t="s">
        <v>1968</v>
      </c>
      <c r="C240" s="152">
        <v>1000</v>
      </c>
      <c r="D240" s="152"/>
      <c r="E240" s="152">
        <f t="shared" si="11"/>
        <v>0</v>
      </c>
      <c r="F240" s="152">
        <v>1000</v>
      </c>
      <c r="G240" s="563">
        <f t="shared" si="10"/>
        <v>3.7143446131788664E-4</v>
      </c>
    </row>
    <row r="241" spans="1:7">
      <c r="A241" s="540" t="s">
        <v>1969</v>
      </c>
      <c r="B241" s="152" t="s">
        <v>1970</v>
      </c>
      <c r="C241" s="152">
        <v>1000</v>
      </c>
      <c r="D241" s="152"/>
      <c r="E241" s="152">
        <f t="shared" si="11"/>
        <v>0</v>
      </c>
      <c r="F241" s="152">
        <v>1000</v>
      </c>
      <c r="G241" s="563">
        <f t="shared" si="10"/>
        <v>3.7143446131788664E-4</v>
      </c>
    </row>
    <row r="242" spans="1:7">
      <c r="A242" s="540" t="s">
        <v>1971</v>
      </c>
      <c r="B242" s="152" t="s">
        <v>1972</v>
      </c>
      <c r="C242" s="152">
        <v>1000</v>
      </c>
      <c r="D242" s="152"/>
      <c r="E242" s="152">
        <f t="shared" si="11"/>
        <v>0</v>
      </c>
      <c r="F242" s="152">
        <v>1000</v>
      </c>
      <c r="G242" s="563">
        <f t="shared" si="10"/>
        <v>3.7143446131788664E-4</v>
      </c>
    </row>
    <row r="243" spans="1:7">
      <c r="A243" s="540" t="s">
        <v>1977</v>
      </c>
      <c r="B243" s="152" t="s">
        <v>1978</v>
      </c>
      <c r="C243" s="152">
        <v>1000</v>
      </c>
      <c r="D243" s="152"/>
      <c r="E243" s="152">
        <f t="shared" si="11"/>
        <v>0</v>
      </c>
      <c r="F243" s="152">
        <v>1000</v>
      </c>
      <c r="G243" s="563">
        <f t="shared" si="10"/>
        <v>3.7143446131788664E-4</v>
      </c>
    </row>
    <row r="244" spans="1:7">
      <c r="A244" s="540" t="s">
        <v>1981</v>
      </c>
      <c r="B244" s="152" t="s">
        <v>1982</v>
      </c>
      <c r="C244" s="152">
        <v>1000</v>
      </c>
      <c r="D244" s="152"/>
      <c r="E244" s="152">
        <f t="shared" si="11"/>
        <v>0</v>
      </c>
      <c r="F244" s="152">
        <v>1000</v>
      </c>
      <c r="G244" s="563">
        <f t="shared" si="10"/>
        <v>3.7143446131788664E-4</v>
      </c>
    </row>
    <row r="245" spans="1:7">
      <c r="A245" s="540" t="s">
        <v>1987</v>
      </c>
      <c r="B245" s="152" t="s">
        <v>1988</v>
      </c>
      <c r="C245" s="152">
        <v>1000</v>
      </c>
      <c r="D245" s="152"/>
      <c r="E245" s="152">
        <f t="shared" si="11"/>
        <v>0</v>
      </c>
      <c r="F245" s="152">
        <v>1000</v>
      </c>
      <c r="G245" s="563">
        <f t="shared" si="10"/>
        <v>3.7143446131788664E-4</v>
      </c>
    </row>
    <row r="246" spans="1:7">
      <c r="A246" s="540" t="s">
        <v>1989</v>
      </c>
      <c r="B246" s="152" t="s">
        <v>1990</v>
      </c>
      <c r="C246" s="152">
        <v>1000</v>
      </c>
      <c r="D246" s="152"/>
      <c r="E246" s="152">
        <f t="shared" si="11"/>
        <v>0</v>
      </c>
      <c r="F246" s="152">
        <v>1000</v>
      </c>
      <c r="G246" s="563">
        <f t="shared" si="10"/>
        <v>3.7143446131788664E-4</v>
      </c>
    </row>
    <row r="247" spans="1:7">
      <c r="A247" s="540" t="s">
        <v>1995</v>
      </c>
      <c r="B247" s="152" t="s">
        <v>1996</v>
      </c>
      <c r="C247" s="152">
        <v>1000</v>
      </c>
      <c r="D247" s="152"/>
      <c r="E247" s="152">
        <f t="shared" ref="E247:E278" si="12">C247-F247</f>
        <v>0</v>
      </c>
      <c r="F247" s="152">
        <v>1000</v>
      </c>
      <c r="G247" s="563">
        <f t="shared" si="10"/>
        <v>3.7143446131788664E-4</v>
      </c>
    </row>
    <row r="248" spans="1:7">
      <c r="A248" s="540" t="s">
        <v>2005</v>
      </c>
      <c r="B248" s="152" t="s">
        <v>2006</v>
      </c>
      <c r="C248" s="152">
        <v>1000</v>
      </c>
      <c r="D248" s="152"/>
      <c r="E248" s="152">
        <f t="shared" si="12"/>
        <v>0</v>
      </c>
      <c r="F248" s="152">
        <v>1000</v>
      </c>
      <c r="G248" s="563">
        <f t="shared" si="10"/>
        <v>3.7143446131788664E-4</v>
      </c>
    </row>
    <row r="249" spans="1:7">
      <c r="A249" s="540" t="s">
        <v>2007</v>
      </c>
      <c r="B249" s="152" t="s">
        <v>2008</v>
      </c>
      <c r="C249" s="152">
        <v>1000</v>
      </c>
      <c r="D249" s="152"/>
      <c r="E249" s="152">
        <f t="shared" si="12"/>
        <v>0</v>
      </c>
      <c r="F249" s="152">
        <v>1000</v>
      </c>
      <c r="G249" s="563">
        <f t="shared" si="10"/>
        <v>3.7143446131788664E-4</v>
      </c>
    </row>
    <row r="250" spans="1:7">
      <c r="A250" s="540" t="s">
        <v>2009</v>
      </c>
      <c r="B250" s="152" t="s">
        <v>2010</v>
      </c>
      <c r="C250" s="152">
        <v>1000</v>
      </c>
      <c r="D250" s="152"/>
      <c r="E250" s="152">
        <f t="shared" si="12"/>
        <v>0</v>
      </c>
      <c r="F250" s="152">
        <v>1000</v>
      </c>
      <c r="G250" s="563">
        <f t="shared" si="10"/>
        <v>3.7143446131788664E-4</v>
      </c>
    </row>
    <row r="251" spans="1:7">
      <c r="A251" s="540" t="s">
        <v>2011</v>
      </c>
      <c r="B251" s="152" t="s">
        <v>2012</v>
      </c>
      <c r="C251" s="152">
        <v>1000</v>
      </c>
      <c r="D251" s="152"/>
      <c r="E251" s="152">
        <f t="shared" si="12"/>
        <v>0</v>
      </c>
      <c r="F251" s="152">
        <v>1000</v>
      </c>
      <c r="G251" s="563">
        <f t="shared" si="10"/>
        <v>3.7143446131788664E-4</v>
      </c>
    </row>
    <row r="252" spans="1:7">
      <c r="A252" s="540" t="s">
        <v>2015</v>
      </c>
      <c r="B252" s="152" t="s">
        <v>2016</v>
      </c>
      <c r="C252" s="152">
        <v>1000</v>
      </c>
      <c r="D252" s="152"/>
      <c r="E252" s="152">
        <f t="shared" si="12"/>
        <v>0</v>
      </c>
      <c r="F252" s="152">
        <v>1000</v>
      </c>
      <c r="G252" s="563">
        <f t="shared" si="10"/>
        <v>3.7143446131788664E-4</v>
      </c>
    </row>
    <row r="253" spans="1:7">
      <c r="A253" s="540" t="s">
        <v>2017</v>
      </c>
      <c r="B253" s="152" t="s">
        <v>2018</v>
      </c>
      <c r="C253" s="152">
        <v>1000</v>
      </c>
      <c r="D253" s="152"/>
      <c r="E253" s="152">
        <f t="shared" si="12"/>
        <v>0</v>
      </c>
      <c r="F253" s="152">
        <v>1000</v>
      </c>
      <c r="G253" s="563">
        <f t="shared" si="10"/>
        <v>3.7143446131788664E-4</v>
      </c>
    </row>
    <row r="254" spans="1:7">
      <c r="A254" s="540" t="s">
        <v>2021</v>
      </c>
      <c r="B254" s="152" t="s">
        <v>2022</v>
      </c>
      <c r="C254" s="152">
        <v>1000</v>
      </c>
      <c r="D254" s="152"/>
      <c r="E254" s="152">
        <f t="shared" si="12"/>
        <v>0</v>
      </c>
      <c r="F254" s="152">
        <v>1000</v>
      </c>
      <c r="G254" s="563">
        <f t="shared" si="10"/>
        <v>3.7143446131788664E-4</v>
      </c>
    </row>
    <row r="255" spans="1:7">
      <c r="A255" s="540" t="s">
        <v>2023</v>
      </c>
      <c r="B255" s="152" t="s">
        <v>2024</v>
      </c>
      <c r="C255" s="152">
        <v>1000</v>
      </c>
      <c r="D255" s="152"/>
      <c r="E255" s="152">
        <f t="shared" si="12"/>
        <v>0</v>
      </c>
      <c r="F255" s="152">
        <v>1000</v>
      </c>
      <c r="G255" s="563">
        <f t="shared" si="10"/>
        <v>3.7143446131788664E-4</v>
      </c>
    </row>
    <row r="256" spans="1:7">
      <c r="A256" s="540" t="s">
        <v>2025</v>
      </c>
      <c r="B256" s="152" t="s">
        <v>2026</v>
      </c>
      <c r="C256" s="152">
        <v>1000</v>
      </c>
      <c r="D256" s="152"/>
      <c r="E256" s="152">
        <f t="shared" si="12"/>
        <v>0</v>
      </c>
      <c r="F256" s="152">
        <v>1000</v>
      </c>
      <c r="G256" s="563">
        <f t="shared" si="10"/>
        <v>3.7143446131788664E-4</v>
      </c>
    </row>
    <row r="257" spans="1:7">
      <c r="A257" s="540" t="s">
        <v>2033</v>
      </c>
      <c r="B257" s="152" t="s">
        <v>2034</v>
      </c>
      <c r="C257" s="152">
        <v>1000</v>
      </c>
      <c r="D257" s="152"/>
      <c r="E257" s="152">
        <f t="shared" si="12"/>
        <v>0</v>
      </c>
      <c r="F257" s="152">
        <v>1000</v>
      </c>
      <c r="G257" s="563">
        <f t="shared" si="10"/>
        <v>3.7143446131788664E-4</v>
      </c>
    </row>
    <row r="258" spans="1:7">
      <c r="A258" s="540" t="s">
        <v>2047</v>
      </c>
      <c r="B258" s="152" t="s">
        <v>2048</v>
      </c>
      <c r="C258" s="152">
        <v>1000</v>
      </c>
      <c r="D258" s="152"/>
      <c r="E258" s="152">
        <f t="shared" si="12"/>
        <v>0</v>
      </c>
      <c r="F258" s="152">
        <v>1000</v>
      </c>
      <c r="G258" s="563">
        <f t="shared" si="10"/>
        <v>3.7143446131788664E-4</v>
      </c>
    </row>
    <row r="259" spans="1:7">
      <c r="A259" s="540" t="s">
        <v>2057</v>
      </c>
      <c r="B259" s="152" t="s">
        <v>2058</v>
      </c>
      <c r="C259" s="152">
        <v>1000</v>
      </c>
      <c r="D259" s="152"/>
      <c r="E259" s="152">
        <f t="shared" si="12"/>
        <v>0</v>
      </c>
      <c r="F259" s="152">
        <v>1000</v>
      </c>
      <c r="G259" s="563">
        <f t="shared" si="10"/>
        <v>3.7143446131788664E-4</v>
      </c>
    </row>
    <row r="260" spans="1:7">
      <c r="A260" s="540" t="s">
        <v>2061</v>
      </c>
      <c r="B260" s="152" t="s">
        <v>2062</v>
      </c>
      <c r="C260" s="152">
        <v>1000</v>
      </c>
      <c r="D260" s="152"/>
      <c r="E260" s="152">
        <f t="shared" si="12"/>
        <v>0</v>
      </c>
      <c r="F260" s="152">
        <v>1000</v>
      </c>
      <c r="G260" s="563">
        <f t="shared" ref="G260:G323" si="13">+F260/$F$427</f>
        <v>3.7143446131788664E-4</v>
      </c>
    </row>
    <row r="261" spans="1:7">
      <c r="A261" s="540" t="s">
        <v>2063</v>
      </c>
      <c r="B261" s="152" t="s">
        <v>2064</v>
      </c>
      <c r="C261" s="152">
        <v>1000</v>
      </c>
      <c r="D261" s="152"/>
      <c r="E261" s="152">
        <f t="shared" si="12"/>
        <v>0</v>
      </c>
      <c r="F261" s="152">
        <v>1000</v>
      </c>
      <c r="G261" s="563">
        <f t="shared" si="13"/>
        <v>3.7143446131788664E-4</v>
      </c>
    </row>
    <row r="262" spans="1:7">
      <c r="A262" s="540" t="s">
        <v>2031</v>
      </c>
      <c r="B262" s="152" t="s">
        <v>2032</v>
      </c>
      <c r="C262" s="152">
        <v>900</v>
      </c>
      <c r="D262" s="152"/>
      <c r="E262" s="152">
        <f t="shared" si="12"/>
        <v>0</v>
      </c>
      <c r="F262" s="152">
        <v>900</v>
      </c>
      <c r="G262" s="563">
        <f t="shared" si="13"/>
        <v>3.3429101518609795E-4</v>
      </c>
    </row>
    <row r="263" spans="1:7">
      <c r="A263" s="540" t="s">
        <v>1389</v>
      </c>
      <c r="B263" s="152" t="s">
        <v>1390</v>
      </c>
      <c r="C263" s="152">
        <v>800</v>
      </c>
      <c r="D263" s="152"/>
      <c r="E263" s="152">
        <f t="shared" si="12"/>
        <v>0</v>
      </c>
      <c r="F263" s="152">
        <v>800</v>
      </c>
      <c r="G263" s="563">
        <f t="shared" si="13"/>
        <v>2.9714756905430931E-4</v>
      </c>
    </row>
    <row r="264" spans="1:7">
      <c r="A264" s="540" t="s">
        <v>1602</v>
      </c>
      <c r="B264" s="152" t="s">
        <v>1603</v>
      </c>
      <c r="C264" s="152">
        <v>800</v>
      </c>
      <c r="D264" s="152"/>
      <c r="E264" s="152">
        <f t="shared" si="12"/>
        <v>0</v>
      </c>
      <c r="F264" s="152">
        <v>800</v>
      </c>
      <c r="G264" s="563">
        <f t="shared" si="13"/>
        <v>2.9714756905430931E-4</v>
      </c>
    </row>
    <row r="265" spans="1:7">
      <c r="A265" s="540" t="s">
        <v>1864</v>
      </c>
      <c r="B265" s="152" t="s">
        <v>1865</v>
      </c>
      <c r="C265" s="152">
        <v>800</v>
      </c>
      <c r="D265" s="152"/>
      <c r="E265" s="152">
        <f t="shared" si="12"/>
        <v>0</v>
      </c>
      <c r="F265" s="152">
        <v>800</v>
      </c>
      <c r="G265" s="563">
        <f t="shared" si="13"/>
        <v>2.9714756905430931E-4</v>
      </c>
    </row>
    <row r="266" spans="1:7">
      <c r="A266" s="540" t="s">
        <v>1927</v>
      </c>
      <c r="B266" s="152" t="s">
        <v>1928</v>
      </c>
      <c r="C266" s="152">
        <v>800</v>
      </c>
      <c r="D266" s="152"/>
      <c r="E266" s="152">
        <f t="shared" si="12"/>
        <v>0</v>
      </c>
      <c r="F266" s="152">
        <v>800</v>
      </c>
      <c r="G266" s="563">
        <f t="shared" si="13"/>
        <v>2.9714756905430931E-4</v>
      </c>
    </row>
    <row r="267" spans="1:7">
      <c r="A267" s="540" t="s">
        <v>1949</v>
      </c>
      <c r="B267" s="152" t="s">
        <v>1950</v>
      </c>
      <c r="C267" s="152">
        <v>800</v>
      </c>
      <c r="D267" s="152"/>
      <c r="E267" s="152">
        <f t="shared" si="12"/>
        <v>0</v>
      </c>
      <c r="F267" s="152">
        <v>800</v>
      </c>
      <c r="G267" s="563">
        <f t="shared" si="13"/>
        <v>2.9714756905430931E-4</v>
      </c>
    </row>
    <row r="268" spans="1:7">
      <c r="A268" s="540" t="s">
        <v>1951</v>
      </c>
      <c r="B268" s="152" t="s">
        <v>1952</v>
      </c>
      <c r="C268" s="152">
        <v>800</v>
      </c>
      <c r="D268" s="152"/>
      <c r="E268" s="152">
        <f t="shared" si="12"/>
        <v>0</v>
      </c>
      <c r="F268" s="152">
        <v>800</v>
      </c>
      <c r="G268" s="563">
        <f t="shared" si="13"/>
        <v>2.9714756905430931E-4</v>
      </c>
    </row>
    <row r="269" spans="1:7">
      <c r="A269" s="540" t="s">
        <v>2035</v>
      </c>
      <c r="B269" s="152" t="s">
        <v>2036</v>
      </c>
      <c r="C269" s="152">
        <v>800</v>
      </c>
      <c r="D269" s="152"/>
      <c r="E269" s="152">
        <f t="shared" si="12"/>
        <v>0</v>
      </c>
      <c r="F269" s="152">
        <v>800</v>
      </c>
      <c r="G269" s="563">
        <f t="shared" si="13"/>
        <v>2.9714756905430931E-4</v>
      </c>
    </row>
    <row r="270" spans="1:7">
      <c r="A270" s="540" t="s">
        <v>1713</v>
      </c>
      <c r="B270" s="152" t="s">
        <v>1714</v>
      </c>
      <c r="C270" s="152">
        <v>10750</v>
      </c>
      <c r="D270" s="152"/>
      <c r="E270" s="152">
        <f t="shared" si="12"/>
        <v>10000</v>
      </c>
      <c r="F270" s="152">
        <v>750</v>
      </c>
      <c r="G270" s="563">
        <f t="shared" si="13"/>
        <v>2.7857584598841494E-4</v>
      </c>
    </row>
    <row r="271" spans="1:7">
      <c r="A271" s="540" t="s">
        <v>1286</v>
      </c>
      <c r="B271" s="152" t="s">
        <v>1287</v>
      </c>
      <c r="C271" s="152">
        <v>705</v>
      </c>
      <c r="D271" s="152"/>
      <c r="E271" s="152">
        <f t="shared" si="12"/>
        <v>0</v>
      </c>
      <c r="F271" s="152">
        <v>705</v>
      </c>
      <c r="G271" s="563">
        <f t="shared" si="13"/>
        <v>2.6186129522911004E-4</v>
      </c>
    </row>
    <row r="272" spans="1:7">
      <c r="A272" s="540" t="s">
        <v>1567</v>
      </c>
      <c r="B272" s="152" t="s">
        <v>1568</v>
      </c>
      <c r="C272" s="152">
        <v>700</v>
      </c>
      <c r="D272" s="152"/>
      <c r="E272" s="152">
        <f t="shared" si="12"/>
        <v>0</v>
      </c>
      <c r="F272" s="152">
        <v>700</v>
      </c>
      <c r="G272" s="563">
        <f t="shared" si="13"/>
        <v>2.6000412292252062E-4</v>
      </c>
    </row>
    <row r="273" spans="1:7">
      <c r="A273" s="540" t="s">
        <v>1397</v>
      </c>
      <c r="B273" s="152" t="s">
        <v>1398</v>
      </c>
      <c r="C273" s="152">
        <v>600</v>
      </c>
      <c r="D273" s="152"/>
      <c r="E273" s="152">
        <f t="shared" si="12"/>
        <v>0</v>
      </c>
      <c r="F273" s="152">
        <v>600</v>
      </c>
      <c r="G273" s="563">
        <f t="shared" si="13"/>
        <v>2.2286067679073195E-4</v>
      </c>
    </row>
    <row r="274" spans="1:7">
      <c r="A274" s="540" t="s">
        <v>1481</v>
      </c>
      <c r="B274" s="152" t="s">
        <v>1482</v>
      </c>
      <c r="C274" s="152">
        <v>600</v>
      </c>
      <c r="D274" s="152"/>
      <c r="E274" s="152">
        <f t="shared" si="12"/>
        <v>0</v>
      </c>
      <c r="F274" s="152">
        <v>600</v>
      </c>
      <c r="G274" s="563">
        <f t="shared" si="13"/>
        <v>2.2286067679073195E-4</v>
      </c>
    </row>
    <row r="275" spans="1:7">
      <c r="A275" s="540" t="s">
        <v>1533</v>
      </c>
      <c r="B275" s="152" t="s">
        <v>1534</v>
      </c>
      <c r="C275" s="152">
        <v>600</v>
      </c>
      <c r="D275" s="152"/>
      <c r="E275" s="152">
        <f t="shared" si="12"/>
        <v>0</v>
      </c>
      <c r="F275" s="152">
        <v>600</v>
      </c>
      <c r="G275" s="563">
        <f t="shared" si="13"/>
        <v>2.2286067679073195E-4</v>
      </c>
    </row>
    <row r="276" spans="1:7">
      <c r="A276" s="540" t="s">
        <v>1541</v>
      </c>
      <c r="B276" s="152" t="s">
        <v>1542</v>
      </c>
      <c r="C276" s="152">
        <v>600</v>
      </c>
      <c r="D276" s="152"/>
      <c r="E276" s="152">
        <f t="shared" si="12"/>
        <v>0</v>
      </c>
      <c r="F276" s="152">
        <v>600</v>
      </c>
      <c r="G276" s="563">
        <f t="shared" si="13"/>
        <v>2.2286067679073195E-4</v>
      </c>
    </row>
    <row r="277" spans="1:7">
      <c r="A277" s="540" t="s">
        <v>1606</v>
      </c>
      <c r="B277" s="152" t="s">
        <v>1607</v>
      </c>
      <c r="C277" s="152">
        <v>600</v>
      </c>
      <c r="D277" s="152"/>
      <c r="E277" s="152">
        <f t="shared" si="12"/>
        <v>0</v>
      </c>
      <c r="F277" s="152">
        <v>600</v>
      </c>
      <c r="G277" s="563">
        <f t="shared" si="13"/>
        <v>2.2286067679073195E-4</v>
      </c>
    </row>
    <row r="278" spans="1:7">
      <c r="A278" s="540" t="s">
        <v>1677</v>
      </c>
      <c r="B278" s="152" t="s">
        <v>1678</v>
      </c>
      <c r="C278" s="152">
        <v>600</v>
      </c>
      <c r="D278" s="152"/>
      <c r="E278" s="152">
        <f t="shared" si="12"/>
        <v>0</v>
      </c>
      <c r="F278" s="152">
        <v>600</v>
      </c>
      <c r="G278" s="563">
        <f t="shared" si="13"/>
        <v>2.2286067679073195E-4</v>
      </c>
    </row>
    <row r="279" spans="1:7">
      <c r="A279" s="540" t="s">
        <v>1679</v>
      </c>
      <c r="B279" s="152" t="s">
        <v>1680</v>
      </c>
      <c r="C279" s="152">
        <v>600</v>
      </c>
      <c r="D279" s="152"/>
      <c r="E279" s="152">
        <f t="shared" ref="E279:E295" si="14">C279-F279</f>
        <v>0</v>
      </c>
      <c r="F279" s="152">
        <v>600</v>
      </c>
      <c r="G279" s="563">
        <f t="shared" si="13"/>
        <v>2.2286067679073195E-4</v>
      </c>
    </row>
    <row r="280" spans="1:7">
      <c r="A280" s="540" t="s">
        <v>1798</v>
      </c>
      <c r="B280" s="152" t="s">
        <v>1799</v>
      </c>
      <c r="C280" s="152">
        <v>600</v>
      </c>
      <c r="D280" s="152"/>
      <c r="E280" s="152">
        <f t="shared" si="14"/>
        <v>0</v>
      </c>
      <c r="F280" s="152">
        <v>600</v>
      </c>
      <c r="G280" s="563">
        <f t="shared" si="13"/>
        <v>2.2286067679073195E-4</v>
      </c>
    </row>
    <row r="281" spans="1:7">
      <c r="A281" s="540" t="s">
        <v>1802</v>
      </c>
      <c r="B281" s="152" t="s">
        <v>1803</v>
      </c>
      <c r="C281" s="152">
        <v>600</v>
      </c>
      <c r="D281" s="152"/>
      <c r="E281" s="152">
        <f t="shared" si="14"/>
        <v>0</v>
      </c>
      <c r="F281" s="152">
        <v>600</v>
      </c>
      <c r="G281" s="563">
        <f t="shared" si="13"/>
        <v>2.2286067679073195E-4</v>
      </c>
    </row>
    <row r="282" spans="1:7">
      <c r="A282" s="540" t="s">
        <v>1852</v>
      </c>
      <c r="B282" s="152" t="s">
        <v>1853</v>
      </c>
      <c r="C282" s="152">
        <v>600</v>
      </c>
      <c r="D282" s="152"/>
      <c r="E282" s="152">
        <f t="shared" si="14"/>
        <v>0</v>
      </c>
      <c r="F282" s="152">
        <v>600</v>
      </c>
      <c r="G282" s="563">
        <f t="shared" si="13"/>
        <v>2.2286067679073195E-4</v>
      </c>
    </row>
    <row r="283" spans="1:7">
      <c r="A283" s="540" t="s">
        <v>1957</v>
      </c>
      <c r="B283" s="152" t="s">
        <v>1958</v>
      </c>
      <c r="C283" s="152">
        <v>600</v>
      </c>
      <c r="D283" s="152"/>
      <c r="E283" s="152">
        <f t="shared" si="14"/>
        <v>0</v>
      </c>
      <c r="F283" s="152">
        <v>600</v>
      </c>
      <c r="G283" s="563">
        <f t="shared" si="13"/>
        <v>2.2286067679073195E-4</v>
      </c>
    </row>
    <row r="284" spans="1:7">
      <c r="A284" s="540" t="s">
        <v>1983</v>
      </c>
      <c r="B284" s="152" t="s">
        <v>1984</v>
      </c>
      <c r="C284" s="152">
        <v>600</v>
      </c>
      <c r="D284" s="152"/>
      <c r="E284" s="152">
        <f t="shared" si="14"/>
        <v>0</v>
      </c>
      <c r="F284" s="152">
        <v>600</v>
      </c>
      <c r="G284" s="563">
        <f t="shared" si="13"/>
        <v>2.2286067679073195E-4</v>
      </c>
    </row>
    <row r="285" spans="1:7">
      <c r="A285" s="540" t="s">
        <v>2041</v>
      </c>
      <c r="B285" s="152" t="s">
        <v>2042</v>
      </c>
      <c r="C285" s="152">
        <v>600</v>
      </c>
      <c r="D285" s="152"/>
      <c r="E285" s="152">
        <f t="shared" si="14"/>
        <v>0</v>
      </c>
      <c r="F285" s="152">
        <v>600</v>
      </c>
      <c r="G285" s="563">
        <f t="shared" si="13"/>
        <v>2.2286067679073195E-4</v>
      </c>
    </row>
    <row r="286" spans="1:7">
      <c r="A286" s="540" t="s">
        <v>1282</v>
      </c>
      <c r="B286" s="152" t="s">
        <v>1283</v>
      </c>
      <c r="C286" s="152">
        <v>575</v>
      </c>
      <c r="D286" s="152"/>
      <c r="E286" s="152">
        <f t="shared" si="14"/>
        <v>0</v>
      </c>
      <c r="F286" s="152">
        <v>575</v>
      </c>
      <c r="G286" s="563">
        <f t="shared" si="13"/>
        <v>2.135748152577848E-4</v>
      </c>
    </row>
    <row r="287" spans="1:7">
      <c r="A287" s="540" t="s">
        <v>1284</v>
      </c>
      <c r="B287" s="152" t="s">
        <v>1285</v>
      </c>
      <c r="C287" s="152">
        <v>575</v>
      </c>
      <c r="D287" s="152"/>
      <c r="E287" s="152">
        <f t="shared" si="14"/>
        <v>0</v>
      </c>
      <c r="F287" s="152">
        <v>575</v>
      </c>
      <c r="G287" s="563">
        <f t="shared" si="13"/>
        <v>2.135748152577848E-4</v>
      </c>
    </row>
    <row r="288" spans="1:7">
      <c r="A288" s="540" t="s">
        <v>1381</v>
      </c>
      <c r="B288" s="152" t="s">
        <v>1382</v>
      </c>
      <c r="C288" s="152">
        <v>575</v>
      </c>
      <c r="D288" s="152"/>
      <c r="E288" s="152">
        <f t="shared" si="14"/>
        <v>0</v>
      </c>
      <c r="F288" s="152">
        <v>575</v>
      </c>
      <c r="G288" s="563">
        <f t="shared" si="13"/>
        <v>2.135748152577848E-4</v>
      </c>
    </row>
    <row r="289" spans="1:7">
      <c r="A289" s="540" t="s">
        <v>1649</v>
      </c>
      <c r="B289" s="152" t="s">
        <v>1650</v>
      </c>
      <c r="C289" s="152">
        <v>575</v>
      </c>
      <c r="D289" s="152"/>
      <c r="E289" s="152">
        <f t="shared" si="14"/>
        <v>0</v>
      </c>
      <c r="F289" s="152">
        <v>575</v>
      </c>
      <c r="G289" s="563">
        <f t="shared" si="13"/>
        <v>2.135748152577848E-4</v>
      </c>
    </row>
    <row r="290" spans="1:7">
      <c r="A290" s="540" t="s">
        <v>1848</v>
      </c>
      <c r="B290" s="152" t="s">
        <v>1849</v>
      </c>
      <c r="C290" s="152">
        <v>575</v>
      </c>
      <c r="D290" s="152"/>
      <c r="E290" s="152">
        <f t="shared" si="14"/>
        <v>0</v>
      </c>
      <c r="F290" s="152">
        <v>575</v>
      </c>
      <c r="G290" s="563">
        <f t="shared" si="13"/>
        <v>2.135748152577848E-4</v>
      </c>
    </row>
    <row r="291" spans="1:7">
      <c r="A291" s="540" t="s">
        <v>1953</v>
      </c>
      <c r="B291" s="152" t="s">
        <v>1954</v>
      </c>
      <c r="C291" s="152">
        <v>575</v>
      </c>
      <c r="D291" s="152"/>
      <c r="E291" s="152">
        <f t="shared" si="14"/>
        <v>0</v>
      </c>
      <c r="F291" s="152">
        <v>575</v>
      </c>
      <c r="G291" s="563">
        <f t="shared" si="13"/>
        <v>2.135748152577848E-4</v>
      </c>
    </row>
    <row r="292" spans="1:7">
      <c r="A292" s="540" t="s">
        <v>1959</v>
      </c>
      <c r="B292" s="152" t="s">
        <v>1960</v>
      </c>
      <c r="C292" s="152">
        <v>575</v>
      </c>
      <c r="D292" s="152"/>
      <c r="E292" s="152">
        <f t="shared" si="14"/>
        <v>0</v>
      </c>
      <c r="F292" s="152">
        <v>575</v>
      </c>
      <c r="G292" s="563">
        <f t="shared" si="13"/>
        <v>2.135748152577848E-4</v>
      </c>
    </row>
    <row r="293" spans="1:7">
      <c r="A293" s="540" t="s">
        <v>1337</v>
      </c>
      <c r="B293" s="152" t="s">
        <v>1338</v>
      </c>
      <c r="C293" s="152">
        <v>500</v>
      </c>
      <c r="D293" s="152"/>
      <c r="E293" s="152">
        <f t="shared" si="14"/>
        <v>0</v>
      </c>
      <c r="F293" s="152">
        <v>500</v>
      </c>
      <c r="G293" s="563">
        <f t="shared" si="13"/>
        <v>1.8571723065894332E-4</v>
      </c>
    </row>
    <row r="294" spans="1:7">
      <c r="A294" s="540" t="s">
        <v>1359</v>
      </c>
      <c r="B294" s="152" t="s">
        <v>1360</v>
      </c>
      <c r="C294" s="152">
        <v>500</v>
      </c>
      <c r="D294" s="152"/>
      <c r="E294" s="152">
        <f t="shared" si="14"/>
        <v>0</v>
      </c>
      <c r="F294" s="152">
        <v>500</v>
      </c>
      <c r="G294" s="563">
        <f t="shared" si="13"/>
        <v>1.8571723065894332E-4</v>
      </c>
    </row>
    <row r="295" spans="1:7">
      <c r="A295" s="540" t="s">
        <v>1369</v>
      </c>
      <c r="B295" s="152" t="s">
        <v>1370</v>
      </c>
      <c r="C295" s="152">
        <v>500</v>
      </c>
      <c r="D295" s="152"/>
      <c r="E295" s="152">
        <f t="shared" si="14"/>
        <v>0</v>
      </c>
      <c r="F295" s="152">
        <v>500</v>
      </c>
      <c r="G295" s="563">
        <f t="shared" si="13"/>
        <v>1.8571723065894332E-4</v>
      </c>
    </row>
    <row r="296" spans="1:7">
      <c r="A296" s="540" t="s">
        <v>2279</v>
      </c>
      <c r="B296" s="152" t="s">
        <v>1777</v>
      </c>
      <c r="C296" s="152">
        <v>0</v>
      </c>
      <c r="D296" s="152">
        <v>500</v>
      </c>
      <c r="E296" s="152">
        <v>0</v>
      </c>
      <c r="F296" s="152">
        <v>500</v>
      </c>
      <c r="G296" s="563">
        <f t="shared" si="13"/>
        <v>1.8571723065894332E-4</v>
      </c>
    </row>
    <row r="297" spans="1:7">
      <c r="A297" s="540" t="s">
        <v>2280</v>
      </c>
      <c r="B297" s="152" t="s">
        <v>2281</v>
      </c>
      <c r="C297" s="152">
        <v>0</v>
      </c>
      <c r="D297" s="152">
        <v>500</v>
      </c>
      <c r="E297" s="152">
        <v>0</v>
      </c>
      <c r="F297" s="152">
        <v>500</v>
      </c>
      <c r="G297" s="563">
        <f t="shared" si="13"/>
        <v>1.8571723065894332E-4</v>
      </c>
    </row>
    <row r="298" spans="1:7">
      <c r="A298" s="540" t="s">
        <v>2282</v>
      </c>
      <c r="B298" s="152" t="s">
        <v>1400</v>
      </c>
      <c r="C298" s="152">
        <v>0</v>
      </c>
      <c r="D298" s="152">
        <v>500</v>
      </c>
      <c r="E298" s="152">
        <v>0</v>
      </c>
      <c r="F298" s="152">
        <v>500</v>
      </c>
      <c r="G298" s="563">
        <f t="shared" si="13"/>
        <v>1.8571723065894332E-4</v>
      </c>
    </row>
    <row r="299" spans="1:7">
      <c r="A299" s="540" t="s">
        <v>1401</v>
      </c>
      <c r="B299" s="152" t="s">
        <v>1402</v>
      </c>
      <c r="C299" s="152">
        <v>500</v>
      </c>
      <c r="D299" s="152"/>
      <c r="E299" s="152">
        <f t="shared" ref="E299:E321" si="15">C299-F299</f>
        <v>0</v>
      </c>
      <c r="F299" s="152">
        <v>500</v>
      </c>
      <c r="G299" s="563">
        <f t="shared" si="13"/>
        <v>1.8571723065894332E-4</v>
      </c>
    </row>
    <row r="300" spans="1:7">
      <c r="A300" s="540" t="s">
        <v>1415</v>
      </c>
      <c r="B300" s="152" t="s">
        <v>1416</v>
      </c>
      <c r="C300" s="152">
        <v>500</v>
      </c>
      <c r="D300" s="152"/>
      <c r="E300" s="152">
        <f t="shared" si="15"/>
        <v>0</v>
      </c>
      <c r="F300" s="152">
        <v>500</v>
      </c>
      <c r="G300" s="563">
        <f t="shared" si="13"/>
        <v>1.8571723065894332E-4</v>
      </c>
    </row>
    <row r="301" spans="1:7">
      <c r="A301" s="540" t="s">
        <v>1419</v>
      </c>
      <c r="B301" s="152" t="s">
        <v>1420</v>
      </c>
      <c r="C301" s="152">
        <v>500</v>
      </c>
      <c r="D301" s="152"/>
      <c r="E301" s="152">
        <f t="shared" si="15"/>
        <v>0</v>
      </c>
      <c r="F301" s="152">
        <v>500</v>
      </c>
      <c r="G301" s="563">
        <f t="shared" si="13"/>
        <v>1.8571723065894332E-4</v>
      </c>
    </row>
    <row r="302" spans="1:7">
      <c r="A302" s="540" t="s">
        <v>1428</v>
      </c>
      <c r="B302" s="152" t="s">
        <v>1429</v>
      </c>
      <c r="C302" s="152">
        <v>500</v>
      </c>
      <c r="D302" s="152"/>
      <c r="E302" s="152">
        <f t="shared" si="15"/>
        <v>0</v>
      </c>
      <c r="F302" s="152">
        <v>500</v>
      </c>
      <c r="G302" s="563">
        <f t="shared" si="13"/>
        <v>1.8571723065894332E-4</v>
      </c>
    </row>
    <row r="303" spans="1:7">
      <c r="A303" s="540" t="s">
        <v>1442</v>
      </c>
      <c r="B303" s="152" t="s">
        <v>1443</v>
      </c>
      <c r="C303" s="152">
        <v>500</v>
      </c>
      <c r="D303" s="152"/>
      <c r="E303" s="152">
        <f t="shared" si="15"/>
        <v>0</v>
      </c>
      <c r="F303" s="152">
        <v>500</v>
      </c>
      <c r="G303" s="563">
        <f t="shared" si="13"/>
        <v>1.8571723065894332E-4</v>
      </c>
    </row>
    <row r="304" spans="1:7">
      <c r="A304" s="540" t="s">
        <v>1450</v>
      </c>
      <c r="B304" s="152" t="s">
        <v>1451</v>
      </c>
      <c r="C304" s="152">
        <v>500</v>
      </c>
      <c r="D304" s="152"/>
      <c r="E304" s="152">
        <f t="shared" si="15"/>
        <v>0</v>
      </c>
      <c r="F304" s="152">
        <v>500</v>
      </c>
      <c r="G304" s="563">
        <f t="shared" si="13"/>
        <v>1.8571723065894332E-4</v>
      </c>
    </row>
    <row r="305" spans="1:7">
      <c r="A305" s="540" t="s">
        <v>1466</v>
      </c>
      <c r="B305" s="152" t="s">
        <v>1467</v>
      </c>
      <c r="C305" s="152">
        <v>500</v>
      </c>
      <c r="D305" s="152"/>
      <c r="E305" s="152">
        <f t="shared" si="15"/>
        <v>0</v>
      </c>
      <c r="F305" s="152">
        <v>500</v>
      </c>
      <c r="G305" s="563">
        <f t="shared" si="13"/>
        <v>1.8571723065894332E-4</v>
      </c>
    </row>
    <row r="306" spans="1:7">
      <c r="A306" s="540" t="s">
        <v>1468</v>
      </c>
      <c r="B306" s="152" t="s">
        <v>1469</v>
      </c>
      <c r="C306" s="152">
        <v>500</v>
      </c>
      <c r="D306" s="152"/>
      <c r="E306" s="152">
        <f t="shared" si="15"/>
        <v>0</v>
      </c>
      <c r="F306" s="152">
        <v>500</v>
      </c>
      <c r="G306" s="563">
        <f t="shared" si="13"/>
        <v>1.8571723065894332E-4</v>
      </c>
    </row>
    <row r="307" spans="1:7">
      <c r="A307" s="540" t="s">
        <v>1485</v>
      </c>
      <c r="B307" s="152" t="s">
        <v>1486</v>
      </c>
      <c r="C307" s="152">
        <v>500</v>
      </c>
      <c r="D307" s="152"/>
      <c r="E307" s="152">
        <f t="shared" si="15"/>
        <v>0</v>
      </c>
      <c r="F307" s="152">
        <v>500</v>
      </c>
      <c r="G307" s="563">
        <f t="shared" si="13"/>
        <v>1.8571723065894332E-4</v>
      </c>
    </row>
    <row r="308" spans="1:7">
      <c r="A308" s="540" t="s">
        <v>1491</v>
      </c>
      <c r="B308" s="152" t="s">
        <v>1492</v>
      </c>
      <c r="C308" s="152">
        <v>500</v>
      </c>
      <c r="D308" s="152"/>
      <c r="E308" s="152">
        <f t="shared" si="15"/>
        <v>0</v>
      </c>
      <c r="F308" s="152">
        <v>500</v>
      </c>
      <c r="G308" s="563">
        <f t="shared" si="13"/>
        <v>1.8571723065894332E-4</v>
      </c>
    </row>
    <row r="309" spans="1:7">
      <c r="A309" s="540" t="s">
        <v>1499</v>
      </c>
      <c r="B309" s="152" t="s">
        <v>1500</v>
      </c>
      <c r="C309" s="152">
        <v>500</v>
      </c>
      <c r="D309" s="152"/>
      <c r="E309" s="152">
        <f t="shared" si="15"/>
        <v>0</v>
      </c>
      <c r="F309" s="152">
        <v>500</v>
      </c>
      <c r="G309" s="563">
        <f t="shared" si="13"/>
        <v>1.8571723065894332E-4</v>
      </c>
    </row>
    <row r="310" spans="1:7">
      <c r="A310" s="540" t="s">
        <v>1503</v>
      </c>
      <c r="B310" s="152" t="s">
        <v>1504</v>
      </c>
      <c r="C310" s="152">
        <v>500</v>
      </c>
      <c r="D310" s="152"/>
      <c r="E310" s="152">
        <f t="shared" si="15"/>
        <v>0</v>
      </c>
      <c r="F310" s="152">
        <v>500</v>
      </c>
      <c r="G310" s="563">
        <f t="shared" si="13"/>
        <v>1.8571723065894332E-4</v>
      </c>
    </row>
    <row r="311" spans="1:7">
      <c r="A311" s="540" t="s">
        <v>1515</v>
      </c>
      <c r="B311" s="152" t="s">
        <v>1516</v>
      </c>
      <c r="C311" s="152">
        <v>500</v>
      </c>
      <c r="D311" s="152"/>
      <c r="E311" s="152">
        <f t="shared" si="15"/>
        <v>0</v>
      </c>
      <c r="F311" s="152">
        <v>500</v>
      </c>
      <c r="G311" s="563">
        <f t="shared" si="13"/>
        <v>1.8571723065894332E-4</v>
      </c>
    </row>
    <row r="312" spans="1:7">
      <c r="A312" s="540" t="s">
        <v>1521</v>
      </c>
      <c r="B312" s="152" t="s">
        <v>1522</v>
      </c>
      <c r="C312" s="152">
        <v>500</v>
      </c>
      <c r="D312" s="152"/>
      <c r="E312" s="152">
        <f t="shared" si="15"/>
        <v>0</v>
      </c>
      <c r="F312" s="152">
        <v>500</v>
      </c>
      <c r="G312" s="563">
        <f t="shared" si="13"/>
        <v>1.8571723065894332E-4</v>
      </c>
    </row>
    <row r="313" spans="1:7">
      <c r="A313" s="540" t="s">
        <v>1525</v>
      </c>
      <c r="B313" s="152" t="s">
        <v>1526</v>
      </c>
      <c r="C313" s="152">
        <v>500</v>
      </c>
      <c r="D313" s="152"/>
      <c r="E313" s="152">
        <f t="shared" si="15"/>
        <v>0</v>
      </c>
      <c r="F313" s="152">
        <v>500</v>
      </c>
      <c r="G313" s="563">
        <f t="shared" si="13"/>
        <v>1.8571723065894332E-4</v>
      </c>
    </row>
    <row r="314" spans="1:7">
      <c r="A314" s="540" t="s">
        <v>1527</v>
      </c>
      <c r="B314" s="152" t="s">
        <v>1528</v>
      </c>
      <c r="C314" s="152">
        <v>500</v>
      </c>
      <c r="D314" s="152"/>
      <c r="E314" s="152">
        <f t="shared" si="15"/>
        <v>0</v>
      </c>
      <c r="F314" s="152">
        <v>500</v>
      </c>
      <c r="G314" s="563">
        <f t="shared" si="13"/>
        <v>1.8571723065894332E-4</v>
      </c>
    </row>
    <row r="315" spans="1:7">
      <c r="A315" s="540" t="s">
        <v>1531</v>
      </c>
      <c r="B315" s="152" t="s">
        <v>1532</v>
      </c>
      <c r="C315" s="152">
        <v>500</v>
      </c>
      <c r="D315" s="152"/>
      <c r="E315" s="152">
        <f t="shared" si="15"/>
        <v>0</v>
      </c>
      <c r="F315" s="152">
        <v>500</v>
      </c>
      <c r="G315" s="563">
        <f t="shared" si="13"/>
        <v>1.8571723065894332E-4</v>
      </c>
    </row>
    <row r="316" spans="1:7">
      <c r="A316" s="540" t="s">
        <v>1543</v>
      </c>
      <c r="B316" s="152" t="s">
        <v>1544</v>
      </c>
      <c r="C316" s="152">
        <v>500</v>
      </c>
      <c r="D316" s="152"/>
      <c r="E316" s="152">
        <f t="shared" si="15"/>
        <v>0</v>
      </c>
      <c r="F316" s="152">
        <v>500</v>
      </c>
      <c r="G316" s="563">
        <f t="shared" si="13"/>
        <v>1.8571723065894332E-4</v>
      </c>
    </row>
    <row r="317" spans="1:7">
      <c r="A317" s="540" t="s">
        <v>1545</v>
      </c>
      <c r="B317" s="152" t="s">
        <v>1546</v>
      </c>
      <c r="C317" s="152">
        <v>500</v>
      </c>
      <c r="D317" s="152"/>
      <c r="E317" s="152">
        <f t="shared" si="15"/>
        <v>0</v>
      </c>
      <c r="F317" s="152">
        <v>500</v>
      </c>
      <c r="G317" s="563">
        <f t="shared" si="13"/>
        <v>1.8571723065894332E-4</v>
      </c>
    </row>
    <row r="318" spans="1:7">
      <c r="A318" s="540" t="s">
        <v>1557</v>
      </c>
      <c r="B318" s="152" t="s">
        <v>1558</v>
      </c>
      <c r="C318" s="152">
        <v>500</v>
      </c>
      <c r="D318" s="152"/>
      <c r="E318" s="152">
        <f t="shared" si="15"/>
        <v>0</v>
      </c>
      <c r="F318" s="152">
        <v>500</v>
      </c>
      <c r="G318" s="563">
        <f t="shared" si="13"/>
        <v>1.8571723065894332E-4</v>
      </c>
    </row>
    <row r="319" spans="1:7">
      <c r="A319" s="540" t="s">
        <v>1577</v>
      </c>
      <c r="B319" s="152" t="s">
        <v>1578</v>
      </c>
      <c r="C319" s="152">
        <v>500</v>
      </c>
      <c r="D319" s="152"/>
      <c r="E319" s="152">
        <f t="shared" si="15"/>
        <v>0</v>
      </c>
      <c r="F319" s="152">
        <v>500</v>
      </c>
      <c r="G319" s="563">
        <f t="shared" si="13"/>
        <v>1.8571723065894332E-4</v>
      </c>
    </row>
    <row r="320" spans="1:7">
      <c r="A320" s="540" t="s">
        <v>1589</v>
      </c>
      <c r="B320" s="152" t="s">
        <v>1590</v>
      </c>
      <c r="C320" s="152">
        <v>500</v>
      </c>
      <c r="D320" s="152"/>
      <c r="E320" s="152">
        <f t="shared" si="15"/>
        <v>0</v>
      </c>
      <c r="F320" s="152">
        <v>500</v>
      </c>
      <c r="G320" s="563">
        <f t="shared" si="13"/>
        <v>1.8571723065894332E-4</v>
      </c>
    </row>
    <row r="321" spans="1:7">
      <c r="A321" s="540" t="s">
        <v>1592</v>
      </c>
      <c r="B321" s="152" t="s">
        <v>1593</v>
      </c>
      <c r="C321" s="152">
        <v>500</v>
      </c>
      <c r="D321" s="152"/>
      <c r="E321" s="152">
        <f t="shared" si="15"/>
        <v>0</v>
      </c>
      <c r="F321" s="152">
        <v>500</v>
      </c>
      <c r="G321" s="563">
        <f t="shared" si="13"/>
        <v>1.8571723065894332E-4</v>
      </c>
    </row>
    <row r="322" spans="1:7">
      <c r="A322" s="540" t="s">
        <v>2289</v>
      </c>
      <c r="B322" s="152" t="s">
        <v>1338</v>
      </c>
      <c r="C322" s="152">
        <v>0</v>
      </c>
      <c r="D322" s="152">
        <v>500</v>
      </c>
      <c r="E322" s="152">
        <v>0</v>
      </c>
      <c r="F322" s="152">
        <v>500</v>
      </c>
      <c r="G322" s="563">
        <f t="shared" si="13"/>
        <v>1.8571723065894332E-4</v>
      </c>
    </row>
    <row r="323" spans="1:7">
      <c r="A323" s="540" t="s">
        <v>1608</v>
      </c>
      <c r="B323" s="152" t="s">
        <v>1609</v>
      </c>
      <c r="C323" s="152">
        <v>500</v>
      </c>
      <c r="D323" s="152"/>
      <c r="E323" s="152">
        <f t="shared" ref="E323:E354" si="16">C323-F323</f>
        <v>0</v>
      </c>
      <c r="F323" s="152">
        <v>500</v>
      </c>
      <c r="G323" s="563">
        <f t="shared" si="13"/>
        <v>1.8571723065894332E-4</v>
      </c>
    </row>
    <row r="324" spans="1:7">
      <c r="A324" s="540" t="s">
        <v>1616</v>
      </c>
      <c r="B324" s="152" t="s">
        <v>1617</v>
      </c>
      <c r="C324" s="152">
        <v>500</v>
      </c>
      <c r="D324" s="152"/>
      <c r="E324" s="152">
        <f t="shared" si="16"/>
        <v>0</v>
      </c>
      <c r="F324" s="152">
        <v>500</v>
      </c>
      <c r="G324" s="563">
        <f t="shared" ref="G324:G387" si="17">+F324/$F$427</f>
        <v>1.8571723065894332E-4</v>
      </c>
    </row>
    <row r="325" spans="1:7">
      <c r="A325" s="540" t="s">
        <v>1637</v>
      </c>
      <c r="B325" s="152" t="s">
        <v>1638</v>
      </c>
      <c r="C325" s="152">
        <v>500</v>
      </c>
      <c r="D325" s="152"/>
      <c r="E325" s="152">
        <f t="shared" si="16"/>
        <v>0</v>
      </c>
      <c r="F325" s="152">
        <v>500</v>
      </c>
      <c r="G325" s="563">
        <f t="shared" si="17"/>
        <v>1.8571723065894332E-4</v>
      </c>
    </row>
    <row r="326" spans="1:7">
      <c r="A326" s="540" t="s">
        <v>1647</v>
      </c>
      <c r="B326" s="152" t="s">
        <v>1648</v>
      </c>
      <c r="C326" s="152">
        <v>500</v>
      </c>
      <c r="D326" s="152"/>
      <c r="E326" s="152">
        <f t="shared" si="16"/>
        <v>0</v>
      </c>
      <c r="F326" s="152">
        <v>500</v>
      </c>
      <c r="G326" s="563">
        <f t="shared" si="17"/>
        <v>1.8571723065894332E-4</v>
      </c>
    </row>
    <row r="327" spans="1:7">
      <c r="A327" s="540" t="s">
        <v>1667</v>
      </c>
      <c r="B327" s="152" t="s">
        <v>1668</v>
      </c>
      <c r="C327" s="152">
        <v>500</v>
      </c>
      <c r="D327" s="152"/>
      <c r="E327" s="152">
        <f t="shared" si="16"/>
        <v>0</v>
      </c>
      <c r="F327" s="152">
        <v>500</v>
      </c>
      <c r="G327" s="563">
        <f t="shared" si="17"/>
        <v>1.8571723065894332E-4</v>
      </c>
    </row>
    <row r="328" spans="1:7">
      <c r="A328" s="540" t="s">
        <v>1673</v>
      </c>
      <c r="B328" s="152" t="s">
        <v>1674</v>
      </c>
      <c r="C328" s="152">
        <v>500</v>
      </c>
      <c r="D328" s="152"/>
      <c r="E328" s="152">
        <f t="shared" si="16"/>
        <v>0</v>
      </c>
      <c r="F328" s="152">
        <v>500</v>
      </c>
      <c r="G328" s="563">
        <f t="shared" si="17"/>
        <v>1.8571723065894332E-4</v>
      </c>
    </row>
    <row r="329" spans="1:7">
      <c r="A329" s="540" t="s">
        <v>1687</v>
      </c>
      <c r="B329" s="152" t="s">
        <v>1688</v>
      </c>
      <c r="C329" s="152">
        <v>500</v>
      </c>
      <c r="D329" s="152"/>
      <c r="E329" s="152">
        <f t="shared" si="16"/>
        <v>0</v>
      </c>
      <c r="F329" s="152">
        <v>500</v>
      </c>
      <c r="G329" s="563">
        <f t="shared" si="17"/>
        <v>1.8571723065894332E-4</v>
      </c>
    </row>
    <row r="330" spans="1:7">
      <c r="A330" s="540" t="s">
        <v>1689</v>
      </c>
      <c r="B330" s="152" t="s">
        <v>1690</v>
      </c>
      <c r="C330" s="152">
        <v>500</v>
      </c>
      <c r="D330" s="152"/>
      <c r="E330" s="152">
        <f t="shared" si="16"/>
        <v>0</v>
      </c>
      <c r="F330" s="152">
        <v>500</v>
      </c>
      <c r="G330" s="563">
        <f t="shared" si="17"/>
        <v>1.8571723065894332E-4</v>
      </c>
    </row>
    <row r="331" spans="1:7">
      <c r="A331" s="540" t="s">
        <v>1691</v>
      </c>
      <c r="B331" s="152" t="s">
        <v>1692</v>
      </c>
      <c r="C331" s="152">
        <v>500</v>
      </c>
      <c r="D331" s="152"/>
      <c r="E331" s="152">
        <f t="shared" si="16"/>
        <v>0</v>
      </c>
      <c r="F331" s="152">
        <v>500</v>
      </c>
      <c r="G331" s="563">
        <f t="shared" si="17"/>
        <v>1.8571723065894332E-4</v>
      </c>
    </row>
    <row r="332" spans="1:7">
      <c r="A332" s="540" t="s">
        <v>1695</v>
      </c>
      <c r="B332" s="152" t="s">
        <v>1696</v>
      </c>
      <c r="C332" s="152">
        <v>500</v>
      </c>
      <c r="D332" s="152"/>
      <c r="E332" s="152">
        <f t="shared" si="16"/>
        <v>0</v>
      </c>
      <c r="F332" s="152">
        <v>500</v>
      </c>
      <c r="G332" s="563">
        <f t="shared" si="17"/>
        <v>1.8571723065894332E-4</v>
      </c>
    </row>
    <row r="333" spans="1:7">
      <c r="A333" s="540" t="s">
        <v>1711</v>
      </c>
      <c r="B333" s="152" t="s">
        <v>1712</v>
      </c>
      <c r="C333" s="152">
        <v>500</v>
      </c>
      <c r="D333" s="152"/>
      <c r="E333" s="152">
        <f t="shared" si="16"/>
        <v>0</v>
      </c>
      <c r="F333" s="152">
        <v>500</v>
      </c>
      <c r="G333" s="563">
        <f t="shared" si="17"/>
        <v>1.8571723065894332E-4</v>
      </c>
    </row>
    <row r="334" spans="1:7">
      <c r="A334" s="540" t="s">
        <v>1720</v>
      </c>
      <c r="B334" s="152" t="s">
        <v>1721</v>
      </c>
      <c r="C334" s="152">
        <v>500</v>
      </c>
      <c r="D334" s="152"/>
      <c r="E334" s="152">
        <f t="shared" si="16"/>
        <v>0</v>
      </c>
      <c r="F334" s="152">
        <v>500</v>
      </c>
      <c r="G334" s="563">
        <f t="shared" si="17"/>
        <v>1.8571723065894332E-4</v>
      </c>
    </row>
    <row r="335" spans="1:7">
      <c r="A335" s="540" t="s">
        <v>1722</v>
      </c>
      <c r="B335" s="152" t="s">
        <v>1723</v>
      </c>
      <c r="C335" s="152">
        <v>500</v>
      </c>
      <c r="D335" s="152"/>
      <c r="E335" s="152">
        <f t="shared" si="16"/>
        <v>0</v>
      </c>
      <c r="F335" s="152">
        <v>500</v>
      </c>
      <c r="G335" s="563">
        <f t="shared" si="17"/>
        <v>1.8571723065894332E-4</v>
      </c>
    </row>
    <row r="336" spans="1:7">
      <c r="A336" s="540" t="s">
        <v>1726</v>
      </c>
      <c r="B336" s="152" t="s">
        <v>1727</v>
      </c>
      <c r="C336" s="152">
        <v>500</v>
      </c>
      <c r="D336" s="152"/>
      <c r="E336" s="152">
        <f t="shared" si="16"/>
        <v>0</v>
      </c>
      <c r="F336" s="152">
        <v>500</v>
      </c>
      <c r="G336" s="563">
        <f t="shared" si="17"/>
        <v>1.8571723065894332E-4</v>
      </c>
    </row>
    <row r="337" spans="1:7">
      <c r="A337" s="540" t="s">
        <v>1730</v>
      </c>
      <c r="B337" s="152" t="s">
        <v>1731</v>
      </c>
      <c r="C337" s="152">
        <v>500</v>
      </c>
      <c r="D337" s="152"/>
      <c r="E337" s="152">
        <f t="shared" si="16"/>
        <v>0</v>
      </c>
      <c r="F337" s="152">
        <v>500</v>
      </c>
      <c r="G337" s="563">
        <f t="shared" si="17"/>
        <v>1.8571723065894332E-4</v>
      </c>
    </row>
    <row r="338" spans="1:7">
      <c r="A338" s="540" t="s">
        <v>1740</v>
      </c>
      <c r="B338" s="152" t="s">
        <v>1741</v>
      </c>
      <c r="C338" s="152">
        <v>500</v>
      </c>
      <c r="D338" s="152"/>
      <c r="E338" s="152">
        <f t="shared" si="16"/>
        <v>0</v>
      </c>
      <c r="F338" s="152">
        <v>500</v>
      </c>
      <c r="G338" s="563">
        <f t="shared" si="17"/>
        <v>1.8571723065894332E-4</v>
      </c>
    </row>
    <row r="339" spans="1:7">
      <c r="A339" s="540" t="s">
        <v>1742</v>
      </c>
      <c r="B339" s="152" t="s">
        <v>1743</v>
      </c>
      <c r="C339" s="152">
        <v>500</v>
      </c>
      <c r="D339" s="152"/>
      <c r="E339" s="152">
        <f t="shared" si="16"/>
        <v>0</v>
      </c>
      <c r="F339" s="152">
        <v>500</v>
      </c>
      <c r="G339" s="563">
        <f t="shared" si="17"/>
        <v>1.8571723065894332E-4</v>
      </c>
    </row>
    <row r="340" spans="1:7">
      <c r="A340" s="540" t="s">
        <v>1758</v>
      </c>
      <c r="B340" s="152" t="s">
        <v>1759</v>
      </c>
      <c r="C340" s="152">
        <v>500</v>
      </c>
      <c r="D340" s="152"/>
      <c r="E340" s="152">
        <f t="shared" si="16"/>
        <v>0</v>
      </c>
      <c r="F340" s="152">
        <v>500</v>
      </c>
      <c r="G340" s="563">
        <f t="shared" si="17"/>
        <v>1.8571723065894332E-4</v>
      </c>
    </row>
    <row r="341" spans="1:7">
      <c r="A341" s="540" t="s">
        <v>1762</v>
      </c>
      <c r="B341" s="152" t="s">
        <v>1763</v>
      </c>
      <c r="C341" s="152">
        <v>500</v>
      </c>
      <c r="D341" s="152"/>
      <c r="E341" s="152">
        <f t="shared" si="16"/>
        <v>0</v>
      </c>
      <c r="F341" s="152">
        <v>500</v>
      </c>
      <c r="G341" s="563">
        <f t="shared" si="17"/>
        <v>1.8571723065894332E-4</v>
      </c>
    </row>
    <row r="342" spans="1:7">
      <c r="A342" s="540" t="s">
        <v>1764</v>
      </c>
      <c r="B342" s="152" t="s">
        <v>1765</v>
      </c>
      <c r="C342" s="152">
        <v>500</v>
      </c>
      <c r="D342" s="152"/>
      <c r="E342" s="152">
        <f t="shared" si="16"/>
        <v>0</v>
      </c>
      <c r="F342" s="152">
        <v>500</v>
      </c>
      <c r="G342" s="563">
        <f t="shared" si="17"/>
        <v>1.8571723065894332E-4</v>
      </c>
    </row>
    <row r="343" spans="1:7">
      <c r="A343" s="540" t="s">
        <v>1774</v>
      </c>
      <c r="B343" s="152" t="s">
        <v>1775</v>
      </c>
      <c r="C343" s="152">
        <v>500</v>
      </c>
      <c r="D343" s="152"/>
      <c r="E343" s="152">
        <f t="shared" si="16"/>
        <v>0</v>
      </c>
      <c r="F343" s="152">
        <v>500</v>
      </c>
      <c r="G343" s="563">
        <f t="shared" si="17"/>
        <v>1.8571723065894332E-4</v>
      </c>
    </row>
    <row r="344" spans="1:7">
      <c r="A344" s="540" t="s">
        <v>1778</v>
      </c>
      <c r="B344" s="152" t="s">
        <v>1779</v>
      </c>
      <c r="C344" s="152">
        <v>500</v>
      </c>
      <c r="D344" s="152"/>
      <c r="E344" s="152">
        <f t="shared" si="16"/>
        <v>0</v>
      </c>
      <c r="F344" s="152">
        <v>500</v>
      </c>
      <c r="G344" s="563">
        <f t="shared" si="17"/>
        <v>1.8571723065894332E-4</v>
      </c>
    </row>
    <row r="345" spans="1:7">
      <c r="A345" s="540" t="s">
        <v>1780</v>
      </c>
      <c r="B345" s="152" t="s">
        <v>1781</v>
      </c>
      <c r="C345" s="152">
        <v>500</v>
      </c>
      <c r="D345" s="152"/>
      <c r="E345" s="152">
        <f t="shared" si="16"/>
        <v>0</v>
      </c>
      <c r="F345" s="152">
        <v>500</v>
      </c>
      <c r="G345" s="563">
        <f t="shared" si="17"/>
        <v>1.8571723065894332E-4</v>
      </c>
    </row>
    <row r="346" spans="1:7">
      <c r="A346" s="540" t="s">
        <v>1782</v>
      </c>
      <c r="B346" s="152" t="s">
        <v>1783</v>
      </c>
      <c r="C346" s="152">
        <v>500</v>
      </c>
      <c r="D346" s="152"/>
      <c r="E346" s="152">
        <f t="shared" si="16"/>
        <v>0</v>
      </c>
      <c r="F346" s="152">
        <v>500</v>
      </c>
      <c r="G346" s="563">
        <f t="shared" si="17"/>
        <v>1.8571723065894332E-4</v>
      </c>
    </row>
    <row r="347" spans="1:7">
      <c r="A347" s="540" t="s">
        <v>1786</v>
      </c>
      <c r="B347" s="152" t="s">
        <v>1787</v>
      </c>
      <c r="C347" s="152">
        <v>500</v>
      </c>
      <c r="D347" s="152"/>
      <c r="E347" s="152">
        <f t="shared" si="16"/>
        <v>0</v>
      </c>
      <c r="F347" s="152">
        <v>500</v>
      </c>
      <c r="G347" s="563">
        <f t="shared" si="17"/>
        <v>1.8571723065894332E-4</v>
      </c>
    </row>
    <row r="348" spans="1:7">
      <c r="A348" s="540" t="s">
        <v>1794</v>
      </c>
      <c r="B348" s="152" t="s">
        <v>1795</v>
      </c>
      <c r="C348" s="152">
        <v>500</v>
      </c>
      <c r="D348" s="152"/>
      <c r="E348" s="152">
        <f t="shared" si="16"/>
        <v>0</v>
      </c>
      <c r="F348" s="152">
        <v>500</v>
      </c>
      <c r="G348" s="563">
        <f t="shared" si="17"/>
        <v>1.8571723065894332E-4</v>
      </c>
    </row>
    <row r="349" spans="1:7">
      <c r="A349" s="540" t="s">
        <v>1796</v>
      </c>
      <c r="B349" s="152" t="s">
        <v>1797</v>
      </c>
      <c r="C349" s="152">
        <v>500</v>
      </c>
      <c r="D349" s="152"/>
      <c r="E349" s="152">
        <f t="shared" si="16"/>
        <v>0</v>
      </c>
      <c r="F349" s="152">
        <v>500</v>
      </c>
      <c r="G349" s="563">
        <f t="shared" si="17"/>
        <v>1.8571723065894332E-4</v>
      </c>
    </row>
    <row r="350" spans="1:7">
      <c r="A350" s="540" t="s">
        <v>1806</v>
      </c>
      <c r="B350" s="152" t="s">
        <v>1807</v>
      </c>
      <c r="C350" s="152">
        <v>500</v>
      </c>
      <c r="D350" s="152"/>
      <c r="E350" s="152">
        <f t="shared" si="16"/>
        <v>0</v>
      </c>
      <c r="F350" s="152">
        <v>500</v>
      </c>
      <c r="G350" s="563">
        <f t="shared" si="17"/>
        <v>1.8571723065894332E-4</v>
      </c>
    </row>
    <row r="351" spans="1:7">
      <c r="A351" s="540" t="s">
        <v>1820</v>
      </c>
      <c r="B351" s="152" t="s">
        <v>1821</v>
      </c>
      <c r="C351" s="152">
        <v>500</v>
      </c>
      <c r="D351" s="152"/>
      <c r="E351" s="152">
        <f t="shared" si="16"/>
        <v>0</v>
      </c>
      <c r="F351" s="152">
        <v>500</v>
      </c>
      <c r="G351" s="563">
        <f t="shared" si="17"/>
        <v>1.8571723065894332E-4</v>
      </c>
    </row>
    <row r="352" spans="1:7">
      <c r="A352" s="540" t="s">
        <v>1824</v>
      </c>
      <c r="B352" s="152" t="s">
        <v>1825</v>
      </c>
      <c r="C352" s="152">
        <v>500</v>
      </c>
      <c r="D352" s="152"/>
      <c r="E352" s="152">
        <f t="shared" si="16"/>
        <v>0</v>
      </c>
      <c r="F352" s="152">
        <v>500</v>
      </c>
      <c r="G352" s="563">
        <f t="shared" si="17"/>
        <v>1.8571723065894332E-4</v>
      </c>
    </row>
    <row r="353" spans="1:7">
      <c r="A353" s="540" t="s">
        <v>1828</v>
      </c>
      <c r="B353" s="152" t="s">
        <v>1829</v>
      </c>
      <c r="C353" s="152">
        <v>500</v>
      </c>
      <c r="D353" s="152"/>
      <c r="E353" s="152">
        <f t="shared" si="16"/>
        <v>0</v>
      </c>
      <c r="F353" s="152">
        <v>500</v>
      </c>
      <c r="G353" s="563">
        <f t="shared" si="17"/>
        <v>1.8571723065894332E-4</v>
      </c>
    </row>
    <row r="354" spans="1:7">
      <c r="A354" s="540" t="s">
        <v>1832</v>
      </c>
      <c r="B354" s="152" t="s">
        <v>1833</v>
      </c>
      <c r="C354" s="152">
        <v>500</v>
      </c>
      <c r="D354" s="152"/>
      <c r="E354" s="152">
        <f t="shared" si="16"/>
        <v>0</v>
      </c>
      <c r="F354" s="152">
        <v>500</v>
      </c>
      <c r="G354" s="563">
        <f t="shared" si="17"/>
        <v>1.8571723065894332E-4</v>
      </c>
    </row>
    <row r="355" spans="1:7">
      <c r="A355" s="540" t="s">
        <v>1838</v>
      </c>
      <c r="B355" s="152" t="s">
        <v>1839</v>
      </c>
      <c r="C355" s="152">
        <v>500</v>
      </c>
      <c r="D355" s="152"/>
      <c r="E355" s="152">
        <f t="shared" ref="E355:E386" si="18">C355-F355</f>
        <v>0</v>
      </c>
      <c r="F355" s="152">
        <v>500</v>
      </c>
      <c r="G355" s="563">
        <f t="shared" si="17"/>
        <v>1.8571723065894332E-4</v>
      </c>
    </row>
    <row r="356" spans="1:7">
      <c r="A356" s="540" t="s">
        <v>1850</v>
      </c>
      <c r="B356" s="152" t="s">
        <v>1851</v>
      </c>
      <c r="C356" s="152">
        <v>500</v>
      </c>
      <c r="D356" s="152"/>
      <c r="E356" s="152">
        <f t="shared" si="18"/>
        <v>0</v>
      </c>
      <c r="F356" s="152">
        <v>500</v>
      </c>
      <c r="G356" s="563">
        <f t="shared" si="17"/>
        <v>1.8571723065894332E-4</v>
      </c>
    </row>
    <row r="357" spans="1:7">
      <c r="A357" s="540" t="s">
        <v>1854</v>
      </c>
      <c r="B357" s="152" t="s">
        <v>1855</v>
      </c>
      <c r="C357" s="152">
        <v>500</v>
      </c>
      <c r="D357" s="152"/>
      <c r="E357" s="152">
        <f t="shared" si="18"/>
        <v>0</v>
      </c>
      <c r="F357" s="152">
        <v>500</v>
      </c>
      <c r="G357" s="563">
        <f t="shared" si="17"/>
        <v>1.8571723065894332E-4</v>
      </c>
    </row>
    <row r="358" spans="1:7">
      <c r="A358" s="540" t="s">
        <v>1856</v>
      </c>
      <c r="B358" s="152" t="s">
        <v>1857</v>
      </c>
      <c r="C358" s="152">
        <v>500</v>
      </c>
      <c r="D358" s="152"/>
      <c r="E358" s="152">
        <f t="shared" si="18"/>
        <v>0</v>
      </c>
      <c r="F358" s="152">
        <v>500</v>
      </c>
      <c r="G358" s="563">
        <f t="shared" si="17"/>
        <v>1.8571723065894332E-4</v>
      </c>
    </row>
    <row r="359" spans="1:7">
      <c r="A359" s="540" t="s">
        <v>1858</v>
      </c>
      <c r="B359" s="152" t="s">
        <v>1859</v>
      </c>
      <c r="C359" s="152">
        <v>500</v>
      </c>
      <c r="D359" s="152"/>
      <c r="E359" s="152">
        <f t="shared" si="18"/>
        <v>0</v>
      </c>
      <c r="F359" s="152">
        <v>500</v>
      </c>
      <c r="G359" s="563">
        <f t="shared" si="17"/>
        <v>1.8571723065894332E-4</v>
      </c>
    </row>
    <row r="360" spans="1:7">
      <c r="A360" s="540" t="s">
        <v>1866</v>
      </c>
      <c r="B360" s="152" t="s">
        <v>1867</v>
      </c>
      <c r="C360" s="152">
        <v>500</v>
      </c>
      <c r="D360" s="152"/>
      <c r="E360" s="152">
        <f t="shared" si="18"/>
        <v>0</v>
      </c>
      <c r="F360" s="152">
        <v>500</v>
      </c>
      <c r="G360" s="563">
        <f t="shared" si="17"/>
        <v>1.8571723065894332E-4</v>
      </c>
    </row>
    <row r="361" spans="1:7">
      <c r="A361" s="540" t="s">
        <v>1880</v>
      </c>
      <c r="B361" s="152" t="s">
        <v>1881</v>
      </c>
      <c r="C361" s="152">
        <v>500</v>
      </c>
      <c r="D361" s="152"/>
      <c r="E361" s="152">
        <f t="shared" si="18"/>
        <v>0</v>
      </c>
      <c r="F361" s="152">
        <v>500</v>
      </c>
      <c r="G361" s="563">
        <f t="shared" si="17"/>
        <v>1.8571723065894332E-4</v>
      </c>
    </row>
    <row r="362" spans="1:7">
      <c r="A362" s="540" t="s">
        <v>1890</v>
      </c>
      <c r="B362" s="152" t="s">
        <v>1891</v>
      </c>
      <c r="C362" s="152">
        <v>500</v>
      </c>
      <c r="D362" s="152"/>
      <c r="E362" s="152">
        <f t="shared" si="18"/>
        <v>0</v>
      </c>
      <c r="F362" s="152">
        <v>500</v>
      </c>
      <c r="G362" s="563">
        <f t="shared" si="17"/>
        <v>1.8571723065894332E-4</v>
      </c>
    </row>
    <row r="363" spans="1:7">
      <c r="A363" s="540" t="s">
        <v>1900</v>
      </c>
      <c r="B363" s="152" t="s">
        <v>1901</v>
      </c>
      <c r="C363" s="152">
        <v>500</v>
      </c>
      <c r="D363" s="152"/>
      <c r="E363" s="152">
        <f t="shared" si="18"/>
        <v>0</v>
      </c>
      <c r="F363" s="152">
        <v>500</v>
      </c>
      <c r="G363" s="563">
        <f t="shared" si="17"/>
        <v>1.8571723065894332E-4</v>
      </c>
    </row>
    <row r="364" spans="1:7">
      <c r="A364" s="540" t="s">
        <v>1910</v>
      </c>
      <c r="B364" s="152" t="s">
        <v>1911</v>
      </c>
      <c r="C364" s="152">
        <v>500</v>
      </c>
      <c r="D364" s="152"/>
      <c r="E364" s="152">
        <f t="shared" si="18"/>
        <v>0</v>
      </c>
      <c r="F364" s="152">
        <v>500</v>
      </c>
      <c r="G364" s="563">
        <f t="shared" si="17"/>
        <v>1.8571723065894332E-4</v>
      </c>
    </row>
    <row r="365" spans="1:7">
      <c r="A365" s="540" t="s">
        <v>1916</v>
      </c>
      <c r="B365" s="152" t="s">
        <v>1917</v>
      </c>
      <c r="C365" s="152">
        <v>500</v>
      </c>
      <c r="D365" s="152"/>
      <c r="E365" s="152">
        <f t="shared" si="18"/>
        <v>0</v>
      </c>
      <c r="F365" s="152">
        <v>500</v>
      </c>
      <c r="G365" s="563">
        <f t="shared" si="17"/>
        <v>1.8571723065894332E-4</v>
      </c>
    </row>
    <row r="366" spans="1:7">
      <c r="A366" s="540" t="s">
        <v>1929</v>
      </c>
      <c r="B366" s="152" t="s">
        <v>1930</v>
      </c>
      <c r="C366" s="152">
        <v>500</v>
      </c>
      <c r="D366" s="152"/>
      <c r="E366" s="152">
        <f t="shared" si="18"/>
        <v>0</v>
      </c>
      <c r="F366" s="152">
        <v>500</v>
      </c>
      <c r="G366" s="563">
        <f t="shared" si="17"/>
        <v>1.8571723065894332E-4</v>
      </c>
    </row>
    <row r="367" spans="1:7">
      <c r="A367" s="540" t="s">
        <v>1935</v>
      </c>
      <c r="B367" s="152" t="s">
        <v>1936</v>
      </c>
      <c r="C367" s="152">
        <v>500</v>
      </c>
      <c r="D367" s="152"/>
      <c r="E367" s="152">
        <f t="shared" si="18"/>
        <v>0</v>
      </c>
      <c r="F367" s="152">
        <v>500</v>
      </c>
      <c r="G367" s="563">
        <f t="shared" si="17"/>
        <v>1.8571723065894332E-4</v>
      </c>
    </row>
    <row r="368" spans="1:7">
      <c r="A368" s="540" t="s">
        <v>1937</v>
      </c>
      <c r="B368" s="152" t="s">
        <v>1938</v>
      </c>
      <c r="C368" s="152">
        <v>500</v>
      </c>
      <c r="D368" s="152"/>
      <c r="E368" s="152">
        <f t="shared" si="18"/>
        <v>0</v>
      </c>
      <c r="F368" s="152">
        <v>500</v>
      </c>
      <c r="G368" s="563">
        <f t="shared" si="17"/>
        <v>1.8571723065894332E-4</v>
      </c>
    </row>
    <row r="369" spans="1:7">
      <c r="A369" s="540" t="s">
        <v>1939</v>
      </c>
      <c r="B369" s="152" t="s">
        <v>1940</v>
      </c>
      <c r="C369" s="152">
        <v>500</v>
      </c>
      <c r="D369" s="152"/>
      <c r="E369" s="152">
        <f t="shared" si="18"/>
        <v>0</v>
      </c>
      <c r="F369" s="152">
        <v>500</v>
      </c>
      <c r="G369" s="563">
        <f t="shared" si="17"/>
        <v>1.8571723065894332E-4</v>
      </c>
    </row>
    <row r="370" spans="1:7">
      <c r="A370" s="540" t="s">
        <v>1963</v>
      </c>
      <c r="B370" s="152" t="s">
        <v>1964</v>
      </c>
      <c r="C370" s="152">
        <v>500</v>
      </c>
      <c r="D370" s="152"/>
      <c r="E370" s="152">
        <f t="shared" si="18"/>
        <v>0</v>
      </c>
      <c r="F370" s="152">
        <v>500</v>
      </c>
      <c r="G370" s="563">
        <f t="shared" si="17"/>
        <v>1.8571723065894332E-4</v>
      </c>
    </row>
    <row r="371" spans="1:7">
      <c r="A371" s="540" t="s">
        <v>1965</v>
      </c>
      <c r="B371" s="152" t="s">
        <v>1966</v>
      </c>
      <c r="C371" s="152">
        <v>500</v>
      </c>
      <c r="D371" s="152"/>
      <c r="E371" s="152">
        <f t="shared" si="18"/>
        <v>0</v>
      </c>
      <c r="F371" s="152">
        <v>500</v>
      </c>
      <c r="G371" s="563">
        <f t="shared" si="17"/>
        <v>1.8571723065894332E-4</v>
      </c>
    </row>
    <row r="372" spans="1:7">
      <c r="A372" s="540" t="s">
        <v>1975</v>
      </c>
      <c r="B372" s="152" t="s">
        <v>1976</v>
      </c>
      <c r="C372" s="152">
        <v>500</v>
      </c>
      <c r="D372" s="152"/>
      <c r="E372" s="152">
        <f t="shared" si="18"/>
        <v>0</v>
      </c>
      <c r="F372" s="152">
        <v>500</v>
      </c>
      <c r="G372" s="563">
        <f t="shared" si="17"/>
        <v>1.8571723065894332E-4</v>
      </c>
    </row>
    <row r="373" spans="1:7">
      <c r="A373" s="540" t="s">
        <v>1993</v>
      </c>
      <c r="B373" s="152" t="s">
        <v>1994</v>
      </c>
      <c r="C373" s="152">
        <v>500</v>
      </c>
      <c r="D373" s="152"/>
      <c r="E373" s="152">
        <f t="shared" si="18"/>
        <v>0</v>
      </c>
      <c r="F373" s="152">
        <v>500</v>
      </c>
      <c r="G373" s="563">
        <f t="shared" si="17"/>
        <v>1.8571723065894332E-4</v>
      </c>
    </row>
    <row r="374" spans="1:7">
      <c r="A374" s="540" t="s">
        <v>1999</v>
      </c>
      <c r="B374" s="152" t="s">
        <v>2000</v>
      </c>
      <c r="C374" s="152">
        <v>500</v>
      </c>
      <c r="D374" s="152"/>
      <c r="E374" s="152">
        <f t="shared" si="18"/>
        <v>0</v>
      </c>
      <c r="F374" s="152">
        <v>500</v>
      </c>
      <c r="G374" s="563">
        <f t="shared" si="17"/>
        <v>1.8571723065894332E-4</v>
      </c>
    </row>
    <row r="375" spans="1:7">
      <c r="A375" s="540" t="s">
        <v>2001</v>
      </c>
      <c r="B375" s="152" t="s">
        <v>2002</v>
      </c>
      <c r="C375" s="152">
        <v>500</v>
      </c>
      <c r="D375" s="152"/>
      <c r="E375" s="152">
        <f t="shared" si="18"/>
        <v>0</v>
      </c>
      <c r="F375" s="152">
        <v>500</v>
      </c>
      <c r="G375" s="563">
        <f t="shared" si="17"/>
        <v>1.8571723065894332E-4</v>
      </c>
    </row>
    <row r="376" spans="1:7">
      <c r="A376" s="540" t="s">
        <v>2013</v>
      </c>
      <c r="B376" s="152" t="s">
        <v>2014</v>
      </c>
      <c r="C376" s="152">
        <v>500</v>
      </c>
      <c r="D376" s="152"/>
      <c r="E376" s="152">
        <f t="shared" si="18"/>
        <v>0</v>
      </c>
      <c r="F376" s="152">
        <v>500</v>
      </c>
      <c r="G376" s="563">
        <f t="shared" si="17"/>
        <v>1.8571723065894332E-4</v>
      </c>
    </row>
    <row r="377" spans="1:7">
      <c r="A377" s="540" t="s">
        <v>2019</v>
      </c>
      <c r="B377" s="152" t="s">
        <v>2020</v>
      </c>
      <c r="C377" s="152">
        <v>500</v>
      </c>
      <c r="D377" s="152"/>
      <c r="E377" s="152">
        <f t="shared" si="18"/>
        <v>0</v>
      </c>
      <c r="F377" s="152">
        <v>500</v>
      </c>
      <c r="G377" s="563">
        <f t="shared" si="17"/>
        <v>1.8571723065894332E-4</v>
      </c>
    </row>
    <row r="378" spans="1:7">
      <c r="A378" s="540" t="s">
        <v>2027</v>
      </c>
      <c r="B378" s="152" t="s">
        <v>2028</v>
      </c>
      <c r="C378" s="152">
        <v>500</v>
      </c>
      <c r="D378" s="152"/>
      <c r="E378" s="152">
        <f t="shared" si="18"/>
        <v>0</v>
      </c>
      <c r="F378" s="152">
        <v>500</v>
      </c>
      <c r="G378" s="563">
        <f t="shared" si="17"/>
        <v>1.8571723065894332E-4</v>
      </c>
    </row>
    <row r="379" spans="1:7">
      <c r="A379" s="540" t="s">
        <v>2029</v>
      </c>
      <c r="B379" s="152" t="s">
        <v>2030</v>
      </c>
      <c r="C379" s="152">
        <v>500</v>
      </c>
      <c r="D379" s="152"/>
      <c r="E379" s="152">
        <f t="shared" si="18"/>
        <v>0</v>
      </c>
      <c r="F379" s="152">
        <v>500</v>
      </c>
      <c r="G379" s="563">
        <f t="shared" si="17"/>
        <v>1.8571723065894332E-4</v>
      </c>
    </row>
    <row r="380" spans="1:7">
      <c r="A380" s="540" t="s">
        <v>2039</v>
      </c>
      <c r="B380" s="152" t="s">
        <v>2040</v>
      </c>
      <c r="C380" s="152">
        <v>500</v>
      </c>
      <c r="D380" s="152"/>
      <c r="E380" s="152">
        <f t="shared" si="18"/>
        <v>0</v>
      </c>
      <c r="F380" s="152">
        <v>500</v>
      </c>
      <c r="G380" s="563">
        <f t="shared" si="17"/>
        <v>1.8571723065894332E-4</v>
      </c>
    </row>
    <row r="381" spans="1:7">
      <c r="A381" s="540" t="s">
        <v>2045</v>
      </c>
      <c r="B381" s="152" t="s">
        <v>2046</v>
      </c>
      <c r="C381" s="152">
        <v>500</v>
      </c>
      <c r="D381" s="152"/>
      <c r="E381" s="152">
        <f t="shared" si="18"/>
        <v>0</v>
      </c>
      <c r="F381" s="152">
        <v>500</v>
      </c>
      <c r="G381" s="563">
        <f t="shared" si="17"/>
        <v>1.8571723065894332E-4</v>
      </c>
    </row>
    <row r="382" spans="1:7">
      <c r="A382" s="540" t="s">
        <v>2055</v>
      </c>
      <c r="B382" s="152" t="s">
        <v>2056</v>
      </c>
      <c r="C382" s="152">
        <v>500</v>
      </c>
      <c r="D382" s="152"/>
      <c r="E382" s="152">
        <f t="shared" si="18"/>
        <v>0</v>
      </c>
      <c r="F382" s="152">
        <v>500</v>
      </c>
      <c r="G382" s="563">
        <f t="shared" si="17"/>
        <v>1.8571723065894332E-4</v>
      </c>
    </row>
    <row r="383" spans="1:7">
      <c r="A383" s="540" t="s">
        <v>2059</v>
      </c>
      <c r="B383" s="152" t="s">
        <v>2060</v>
      </c>
      <c r="C383" s="152">
        <v>500</v>
      </c>
      <c r="D383" s="152"/>
      <c r="E383" s="152">
        <f t="shared" si="18"/>
        <v>0</v>
      </c>
      <c r="F383" s="152">
        <v>500</v>
      </c>
      <c r="G383" s="563">
        <f t="shared" si="17"/>
        <v>1.8571723065894332E-4</v>
      </c>
    </row>
    <row r="384" spans="1:7">
      <c r="A384" s="540" t="s">
        <v>1395</v>
      </c>
      <c r="B384" s="152" t="s">
        <v>1396</v>
      </c>
      <c r="C384" s="152">
        <v>400</v>
      </c>
      <c r="D384" s="152"/>
      <c r="E384" s="152">
        <f t="shared" si="18"/>
        <v>0</v>
      </c>
      <c r="F384" s="152">
        <v>400</v>
      </c>
      <c r="G384" s="563">
        <f t="shared" si="17"/>
        <v>1.4857378452715465E-4</v>
      </c>
    </row>
    <row r="385" spans="1:7">
      <c r="A385" s="540" t="s">
        <v>1495</v>
      </c>
      <c r="B385" s="152" t="s">
        <v>1496</v>
      </c>
      <c r="C385" s="152">
        <v>400</v>
      </c>
      <c r="D385" s="152"/>
      <c r="E385" s="152">
        <f t="shared" si="18"/>
        <v>0</v>
      </c>
      <c r="F385" s="152">
        <v>400</v>
      </c>
      <c r="G385" s="563">
        <f t="shared" si="17"/>
        <v>1.4857378452715465E-4</v>
      </c>
    </row>
    <row r="386" spans="1:7">
      <c r="A386" s="540" t="s">
        <v>1314</v>
      </c>
      <c r="B386" s="152" t="s">
        <v>1315</v>
      </c>
      <c r="C386" s="152">
        <v>375</v>
      </c>
      <c r="D386" s="152"/>
      <c r="E386" s="152">
        <f t="shared" si="18"/>
        <v>0</v>
      </c>
      <c r="F386" s="152">
        <v>375</v>
      </c>
      <c r="G386" s="563">
        <f t="shared" si="17"/>
        <v>1.3928792299420747E-4</v>
      </c>
    </row>
    <row r="387" spans="1:7">
      <c r="A387" s="540" t="s">
        <v>1460</v>
      </c>
      <c r="B387" s="152" t="s">
        <v>1461</v>
      </c>
      <c r="C387" s="152">
        <v>300</v>
      </c>
      <c r="D387" s="152"/>
      <c r="E387" s="152">
        <f t="shared" ref="E387:E418" si="19">C387-F387</f>
        <v>0</v>
      </c>
      <c r="F387" s="152">
        <v>300</v>
      </c>
      <c r="G387" s="563">
        <f t="shared" si="17"/>
        <v>1.1143033839536598E-4</v>
      </c>
    </row>
    <row r="388" spans="1:7">
      <c r="A388" s="540" t="s">
        <v>1728</v>
      </c>
      <c r="B388" s="152" t="s">
        <v>1729</v>
      </c>
      <c r="C388" s="152">
        <v>300</v>
      </c>
      <c r="D388" s="152"/>
      <c r="E388" s="152">
        <f t="shared" si="19"/>
        <v>0</v>
      </c>
      <c r="F388" s="152">
        <v>300</v>
      </c>
      <c r="G388" s="563">
        <f t="shared" ref="G388:G425" si="20">+F388/$F$427</f>
        <v>1.1143033839536598E-4</v>
      </c>
    </row>
    <row r="389" spans="1:7">
      <c r="A389" s="540" t="s">
        <v>1316</v>
      </c>
      <c r="B389" s="152" t="s">
        <v>1317</v>
      </c>
      <c r="C389" s="152">
        <v>240</v>
      </c>
      <c r="D389" s="152"/>
      <c r="E389" s="152">
        <f t="shared" si="19"/>
        <v>0</v>
      </c>
      <c r="F389" s="152">
        <v>240</v>
      </c>
      <c r="G389" s="563">
        <f t="shared" si="20"/>
        <v>8.9144270716292793E-5</v>
      </c>
    </row>
    <row r="390" spans="1:7">
      <c r="A390" s="540" t="s">
        <v>1587</v>
      </c>
      <c r="B390" s="152" t="s">
        <v>1588</v>
      </c>
      <c r="C390" s="152">
        <v>200</v>
      </c>
      <c r="D390" s="152"/>
      <c r="E390" s="152">
        <f t="shared" si="19"/>
        <v>0</v>
      </c>
      <c r="F390" s="152">
        <v>200</v>
      </c>
      <c r="G390" s="563">
        <f t="shared" si="20"/>
        <v>7.4286892263577327E-5</v>
      </c>
    </row>
    <row r="391" spans="1:7">
      <c r="A391" s="540" t="s">
        <v>1760</v>
      </c>
      <c r="B391" s="152" t="s">
        <v>1761</v>
      </c>
      <c r="C391" s="152">
        <v>200</v>
      </c>
      <c r="D391" s="152"/>
      <c r="E391" s="152">
        <f t="shared" si="19"/>
        <v>0</v>
      </c>
      <c r="F391" s="152">
        <v>200</v>
      </c>
      <c r="G391" s="563">
        <f t="shared" si="20"/>
        <v>7.4286892263577327E-5</v>
      </c>
    </row>
    <row r="392" spans="1:7">
      <c r="A392" s="540" t="s">
        <v>1312</v>
      </c>
      <c r="B392" s="152" t="s">
        <v>1313</v>
      </c>
      <c r="C392" s="152">
        <v>150</v>
      </c>
      <c r="D392" s="152"/>
      <c r="E392" s="152">
        <f t="shared" si="19"/>
        <v>0</v>
      </c>
      <c r="F392" s="152">
        <v>150</v>
      </c>
      <c r="G392" s="563">
        <f t="shared" si="20"/>
        <v>5.5715169197682989E-5</v>
      </c>
    </row>
    <row r="393" spans="1:7">
      <c r="A393" s="540" t="s">
        <v>1318</v>
      </c>
      <c r="B393" s="152" t="s">
        <v>1319</v>
      </c>
      <c r="C393" s="152">
        <v>150</v>
      </c>
      <c r="D393" s="152"/>
      <c r="E393" s="152">
        <f t="shared" si="19"/>
        <v>0</v>
      </c>
      <c r="F393" s="152">
        <v>150</v>
      </c>
      <c r="G393" s="563">
        <f t="shared" si="20"/>
        <v>5.5715169197682989E-5</v>
      </c>
    </row>
    <row r="394" spans="1:7">
      <c r="A394" s="540" t="s">
        <v>1325</v>
      </c>
      <c r="B394" s="152" t="s">
        <v>1326</v>
      </c>
      <c r="C394" s="152">
        <v>150</v>
      </c>
      <c r="D394" s="152"/>
      <c r="E394" s="152">
        <f t="shared" si="19"/>
        <v>0</v>
      </c>
      <c r="F394" s="152">
        <v>150</v>
      </c>
      <c r="G394" s="563">
        <f t="shared" si="20"/>
        <v>5.5715169197682989E-5</v>
      </c>
    </row>
    <row r="395" spans="1:7">
      <c r="A395" s="540" t="s">
        <v>2043</v>
      </c>
      <c r="B395" s="152" t="s">
        <v>2044</v>
      </c>
      <c r="C395" s="152">
        <v>115</v>
      </c>
      <c r="D395" s="152"/>
      <c r="E395" s="152">
        <f t="shared" si="19"/>
        <v>0</v>
      </c>
      <c r="F395" s="152">
        <v>115</v>
      </c>
      <c r="G395" s="563">
        <f t="shared" si="20"/>
        <v>4.2714963051556963E-5</v>
      </c>
    </row>
    <row r="396" spans="1:7">
      <c r="A396" s="540" t="s">
        <v>1274</v>
      </c>
      <c r="B396" s="152" t="s">
        <v>1275</v>
      </c>
      <c r="C396" s="152">
        <v>100</v>
      </c>
      <c r="D396" s="152"/>
      <c r="E396" s="152">
        <f t="shared" si="19"/>
        <v>0</v>
      </c>
      <c r="F396" s="152">
        <v>100</v>
      </c>
      <c r="G396" s="563">
        <f t="shared" si="20"/>
        <v>3.7143446131788664E-5</v>
      </c>
    </row>
    <row r="397" spans="1:7">
      <c r="A397" s="540" t="s">
        <v>1701</v>
      </c>
      <c r="B397" s="152" t="s">
        <v>1702</v>
      </c>
      <c r="C397" s="152">
        <v>100</v>
      </c>
      <c r="D397" s="152"/>
      <c r="E397" s="152">
        <f t="shared" si="19"/>
        <v>0</v>
      </c>
      <c r="F397" s="152">
        <v>100</v>
      </c>
      <c r="G397" s="563">
        <f t="shared" si="20"/>
        <v>3.7143446131788664E-5</v>
      </c>
    </row>
    <row r="398" spans="1:7">
      <c r="A398" s="540" t="s">
        <v>1808</v>
      </c>
      <c r="B398" s="152" t="s">
        <v>1809</v>
      </c>
      <c r="C398" s="152">
        <v>100</v>
      </c>
      <c r="D398" s="152"/>
      <c r="E398" s="152">
        <f t="shared" si="19"/>
        <v>0</v>
      </c>
      <c r="F398" s="152">
        <v>100</v>
      </c>
      <c r="G398" s="563">
        <f t="shared" si="20"/>
        <v>3.7143446131788664E-5</v>
      </c>
    </row>
    <row r="399" spans="1:7">
      <c r="A399" s="540" t="s">
        <v>1924</v>
      </c>
      <c r="B399" s="152" t="s">
        <v>1925</v>
      </c>
      <c r="C399" s="152">
        <v>100</v>
      </c>
      <c r="D399" s="152"/>
      <c r="E399" s="152">
        <f t="shared" si="19"/>
        <v>0</v>
      </c>
      <c r="F399" s="152">
        <v>100</v>
      </c>
      <c r="G399" s="563">
        <f t="shared" si="20"/>
        <v>3.7143446131788664E-5</v>
      </c>
    </row>
    <row r="400" spans="1:7">
      <c r="A400" s="540" t="s">
        <v>1320</v>
      </c>
      <c r="B400" s="152" t="s">
        <v>1321</v>
      </c>
      <c r="C400" s="152">
        <v>75</v>
      </c>
      <c r="D400" s="152"/>
      <c r="E400" s="152">
        <f t="shared" si="19"/>
        <v>0</v>
      </c>
      <c r="F400" s="152">
        <v>75</v>
      </c>
      <c r="G400" s="563">
        <f t="shared" si="20"/>
        <v>2.7857584598841494E-5</v>
      </c>
    </row>
    <row r="401" spans="1:7">
      <c r="A401" s="540" t="s">
        <v>1322</v>
      </c>
      <c r="B401" s="152" t="s">
        <v>1323</v>
      </c>
      <c r="C401" s="152">
        <v>75</v>
      </c>
      <c r="D401" s="152"/>
      <c r="E401" s="152">
        <f t="shared" si="19"/>
        <v>0</v>
      </c>
      <c r="F401" s="152">
        <v>75</v>
      </c>
      <c r="G401" s="563">
        <f t="shared" si="20"/>
        <v>2.7857584598841494E-5</v>
      </c>
    </row>
    <row r="402" spans="1:7">
      <c r="A402" s="540" t="s">
        <v>1324</v>
      </c>
      <c r="B402" s="152" t="s">
        <v>1323</v>
      </c>
      <c r="C402" s="152">
        <v>75</v>
      </c>
      <c r="D402" s="152"/>
      <c r="E402" s="152">
        <f t="shared" si="19"/>
        <v>0</v>
      </c>
      <c r="F402" s="152">
        <v>75</v>
      </c>
      <c r="G402" s="563">
        <f t="shared" si="20"/>
        <v>2.7857584598841494E-5</v>
      </c>
    </row>
    <row r="403" spans="1:7">
      <c r="A403" s="540" t="s">
        <v>1280</v>
      </c>
      <c r="B403" s="152" t="s">
        <v>1281</v>
      </c>
      <c r="C403" s="152">
        <v>1000</v>
      </c>
      <c r="D403" s="152"/>
      <c r="E403" s="152">
        <f t="shared" si="19"/>
        <v>1000</v>
      </c>
      <c r="F403" s="152">
        <v>0</v>
      </c>
      <c r="G403" s="563">
        <f t="shared" si="20"/>
        <v>0</v>
      </c>
    </row>
    <row r="404" spans="1:7">
      <c r="A404" s="540" t="s">
        <v>1288</v>
      </c>
      <c r="B404" s="152" t="s">
        <v>1289</v>
      </c>
      <c r="C404" s="152">
        <v>8828</v>
      </c>
      <c r="D404" s="152"/>
      <c r="E404" s="152">
        <f t="shared" si="19"/>
        <v>8828</v>
      </c>
      <c r="F404" s="152">
        <v>0</v>
      </c>
      <c r="G404" s="563">
        <f t="shared" si="20"/>
        <v>0</v>
      </c>
    </row>
    <row r="405" spans="1:7">
      <c r="A405" s="540" t="s">
        <v>1361</v>
      </c>
      <c r="B405" s="152" t="s">
        <v>1362</v>
      </c>
      <c r="C405" s="152">
        <v>500</v>
      </c>
      <c r="D405" s="152"/>
      <c r="E405" s="152">
        <f t="shared" si="19"/>
        <v>500</v>
      </c>
      <c r="F405" s="152">
        <v>0</v>
      </c>
      <c r="G405" s="563">
        <f t="shared" si="20"/>
        <v>0</v>
      </c>
    </row>
    <row r="406" spans="1:7">
      <c r="A406" s="540" t="s">
        <v>1365</v>
      </c>
      <c r="B406" s="152" t="s">
        <v>1366</v>
      </c>
      <c r="C406" s="152">
        <v>128250</v>
      </c>
      <c r="D406" s="152"/>
      <c r="E406" s="152">
        <f t="shared" si="19"/>
        <v>128250</v>
      </c>
      <c r="F406" s="152">
        <v>0</v>
      </c>
      <c r="G406" s="563">
        <f t="shared" si="20"/>
        <v>0</v>
      </c>
    </row>
    <row r="407" spans="1:7">
      <c r="A407" s="540" t="s">
        <v>1399</v>
      </c>
      <c r="B407" s="152" t="s">
        <v>1400</v>
      </c>
      <c r="C407" s="152">
        <v>500</v>
      </c>
      <c r="D407" s="152"/>
      <c r="E407" s="152">
        <f t="shared" si="19"/>
        <v>500</v>
      </c>
      <c r="F407" s="152">
        <v>0</v>
      </c>
      <c r="G407" s="563">
        <f t="shared" si="20"/>
        <v>0</v>
      </c>
    </row>
    <row r="408" spans="1:7">
      <c r="A408" s="540" t="s">
        <v>1409</v>
      </c>
      <c r="B408" s="152" t="s">
        <v>1410</v>
      </c>
      <c r="C408" s="152">
        <v>4200</v>
      </c>
      <c r="D408" s="152"/>
      <c r="E408" s="152">
        <f t="shared" si="19"/>
        <v>4200</v>
      </c>
      <c r="F408" s="152">
        <v>0</v>
      </c>
      <c r="G408" s="563">
        <f t="shared" si="20"/>
        <v>0</v>
      </c>
    </row>
    <row r="409" spans="1:7">
      <c r="A409" s="540" t="s">
        <v>1511</v>
      </c>
      <c r="B409" s="152" t="s">
        <v>1512</v>
      </c>
      <c r="C409" s="152">
        <v>500</v>
      </c>
      <c r="D409" s="152"/>
      <c r="E409" s="152">
        <f t="shared" si="19"/>
        <v>500</v>
      </c>
      <c r="F409" s="152">
        <v>0</v>
      </c>
      <c r="G409" s="563">
        <f t="shared" si="20"/>
        <v>0</v>
      </c>
    </row>
    <row r="410" spans="1:7">
      <c r="A410" s="540" t="s">
        <v>1579</v>
      </c>
      <c r="B410" s="152" t="s">
        <v>1580</v>
      </c>
      <c r="C410" s="152">
        <v>4200</v>
      </c>
      <c r="D410" s="152"/>
      <c r="E410" s="152">
        <f t="shared" si="19"/>
        <v>4200</v>
      </c>
      <c r="F410" s="152">
        <v>0</v>
      </c>
      <c r="G410" s="563">
        <f t="shared" si="20"/>
        <v>0</v>
      </c>
    </row>
    <row r="411" spans="1:7">
      <c r="A411" s="540" t="s">
        <v>1591</v>
      </c>
      <c r="B411" s="152" t="s">
        <v>1338</v>
      </c>
      <c r="C411" s="152">
        <v>500</v>
      </c>
      <c r="D411" s="152"/>
      <c r="E411" s="152">
        <f t="shared" si="19"/>
        <v>500</v>
      </c>
      <c r="F411" s="152">
        <v>0</v>
      </c>
      <c r="G411" s="563">
        <f t="shared" si="20"/>
        <v>0</v>
      </c>
    </row>
    <row r="412" spans="1:7">
      <c r="A412" s="540" t="s">
        <v>1614</v>
      </c>
      <c r="B412" s="152" t="s">
        <v>1615</v>
      </c>
      <c r="C412" s="152">
        <v>1700</v>
      </c>
      <c r="D412" s="152"/>
      <c r="E412" s="152">
        <f t="shared" si="19"/>
        <v>1700</v>
      </c>
      <c r="F412" s="152">
        <v>0</v>
      </c>
      <c r="G412" s="563">
        <f t="shared" si="20"/>
        <v>0</v>
      </c>
    </row>
    <row r="413" spans="1:7">
      <c r="A413" s="540" t="s">
        <v>1655</v>
      </c>
      <c r="B413" s="152" t="s">
        <v>1656</v>
      </c>
      <c r="C413" s="152">
        <v>2500</v>
      </c>
      <c r="D413" s="152"/>
      <c r="E413" s="152">
        <f t="shared" si="19"/>
        <v>2500</v>
      </c>
      <c r="F413" s="152">
        <v>0</v>
      </c>
      <c r="G413" s="563">
        <f t="shared" si="20"/>
        <v>0</v>
      </c>
    </row>
    <row r="414" spans="1:7">
      <c r="A414" s="540" t="s">
        <v>1662</v>
      </c>
      <c r="B414" s="152" t="s">
        <v>1656</v>
      </c>
      <c r="C414" s="152">
        <v>6700</v>
      </c>
      <c r="D414" s="152"/>
      <c r="E414" s="152">
        <f t="shared" si="19"/>
        <v>6700</v>
      </c>
      <c r="F414" s="152">
        <v>0</v>
      </c>
      <c r="G414" s="563">
        <f t="shared" si="20"/>
        <v>0</v>
      </c>
    </row>
    <row r="415" spans="1:7">
      <c r="A415" s="540" t="s">
        <v>1683</v>
      </c>
      <c r="B415" s="152" t="s">
        <v>1684</v>
      </c>
      <c r="C415" s="152">
        <v>1000</v>
      </c>
      <c r="D415" s="152"/>
      <c r="E415" s="152">
        <f t="shared" si="19"/>
        <v>1000</v>
      </c>
      <c r="F415" s="152">
        <v>0</v>
      </c>
      <c r="G415" s="563">
        <f t="shared" si="20"/>
        <v>0</v>
      </c>
    </row>
    <row r="416" spans="1:7">
      <c r="A416" s="540" t="s">
        <v>1719</v>
      </c>
      <c r="B416" s="152" t="s">
        <v>1714</v>
      </c>
      <c r="C416" s="152">
        <v>2500</v>
      </c>
      <c r="D416" s="152"/>
      <c r="E416" s="152">
        <f t="shared" si="19"/>
        <v>2500</v>
      </c>
      <c r="F416" s="152">
        <v>0</v>
      </c>
      <c r="G416" s="563">
        <f t="shared" si="20"/>
        <v>0</v>
      </c>
    </row>
    <row r="417" spans="1:7">
      <c r="A417" s="540" t="s">
        <v>1752</v>
      </c>
      <c r="B417" s="152" t="s">
        <v>1753</v>
      </c>
      <c r="C417" s="152">
        <v>1000</v>
      </c>
      <c r="D417" s="152"/>
      <c r="E417" s="152">
        <f t="shared" si="19"/>
        <v>1000</v>
      </c>
      <c r="F417" s="152">
        <v>0</v>
      </c>
      <c r="G417" s="563">
        <f t="shared" si="20"/>
        <v>0</v>
      </c>
    </row>
    <row r="418" spans="1:7">
      <c r="A418" s="540" t="s">
        <v>1776</v>
      </c>
      <c r="B418" s="152" t="s">
        <v>1777</v>
      </c>
      <c r="C418" s="152">
        <v>500</v>
      </c>
      <c r="D418" s="152"/>
      <c r="E418" s="152">
        <f t="shared" si="19"/>
        <v>500</v>
      </c>
      <c r="F418" s="152">
        <v>0</v>
      </c>
      <c r="G418" s="563">
        <f t="shared" si="20"/>
        <v>0</v>
      </c>
    </row>
    <row r="419" spans="1:7">
      <c r="A419" s="540" t="s">
        <v>1892</v>
      </c>
      <c r="B419" s="152" t="s">
        <v>1893</v>
      </c>
      <c r="C419" s="152">
        <v>1000</v>
      </c>
      <c r="D419" s="152"/>
      <c r="E419" s="152">
        <f t="shared" ref="E419:E425" si="21">C419-F419</f>
        <v>1000</v>
      </c>
      <c r="F419" s="152">
        <v>0</v>
      </c>
      <c r="G419" s="563">
        <f t="shared" si="20"/>
        <v>0</v>
      </c>
    </row>
    <row r="420" spans="1:7">
      <c r="A420" s="540" t="s">
        <v>1898</v>
      </c>
      <c r="B420" s="152" t="s">
        <v>1899</v>
      </c>
      <c r="C420" s="152">
        <v>1500</v>
      </c>
      <c r="D420" s="152"/>
      <c r="E420" s="152">
        <f t="shared" si="21"/>
        <v>1500</v>
      </c>
      <c r="F420" s="152">
        <v>0</v>
      </c>
      <c r="G420" s="563">
        <f t="shared" si="20"/>
        <v>0</v>
      </c>
    </row>
    <row r="421" spans="1:7">
      <c r="A421" s="540" t="s">
        <v>1906</v>
      </c>
      <c r="B421" s="152" t="s">
        <v>1907</v>
      </c>
      <c r="C421" s="152">
        <v>1000</v>
      </c>
      <c r="D421" s="152"/>
      <c r="E421" s="152">
        <f t="shared" si="21"/>
        <v>1000</v>
      </c>
      <c r="F421" s="152">
        <v>0</v>
      </c>
      <c r="G421" s="563">
        <f t="shared" si="20"/>
        <v>0</v>
      </c>
    </row>
    <row r="422" spans="1:7">
      <c r="A422" s="540" t="s">
        <v>1918</v>
      </c>
      <c r="B422" s="152" t="s">
        <v>1919</v>
      </c>
      <c r="C422" s="152">
        <v>10000</v>
      </c>
      <c r="D422" s="152"/>
      <c r="E422" s="152">
        <f t="shared" si="21"/>
        <v>10000</v>
      </c>
      <c r="F422" s="152">
        <v>0</v>
      </c>
      <c r="G422" s="563">
        <f t="shared" si="20"/>
        <v>0</v>
      </c>
    </row>
    <row r="423" spans="1:7">
      <c r="A423" s="540" t="s">
        <v>1926</v>
      </c>
      <c r="B423" s="152" t="s">
        <v>1919</v>
      </c>
      <c r="C423" s="152">
        <v>2500</v>
      </c>
      <c r="D423" s="152"/>
      <c r="E423" s="152">
        <f t="shared" si="21"/>
        <v>2500</v>
      </c>
      <c r="F423" s="152">
        <v>0</v>
      </c>
      <c r="G423" s="563">
        <f t="shared" si="20"/>
        <v>0</v>
      </c>
    </row>
    <row r="424" spans="1:7">
      <c r="A424" s="540" t="s">
        <v>1945</v>
      </c>
      <c r="B424" s="152" t="s">
        <v>1946</v>
      </c>
      <c r="C424" s="152">
        <v>1000</v>
      </c>
      <c r="D424" s="152"/>
      <c r="E424" s="152">
        <f t="shared" si="21"/>
        <v>1000</v>
      </c>
      <c r="F424" s="152">
        <v>0</v>
      </c>
      <c r="G424" s="563">
        <f t="shared" si="20"/>
        <v>0</v>
      </c>
    </row>
    <row r="425" spans="1:7">
      <c r="A425" s="540" t="s">
        <v>1973</v>
      </c>
      <c r="B425" s="152" t="s">
        <v>1974</v>
      </c>
      <c r="C425" s="152">
        <v>4200</v>
      </c>
      <c r="D425" s="152"/>
      <c r="E425" s="152">
        <f t="shared" si="21"/>
        <v>4200</v>
      </c>
      <c r="F425" s="152">
        <v>0</v>
      </c>
      <c r="G425" s="563">
        <f t="shared" si="20"/>
        <v>0</v>
      </c>
    </row>
    <row r="426" spans="1:7">
      <c r="A426" s="152"/>
      <c r="B426" s="152"/>
      <c r="C426" s="152"/>
      <c r="D426" s="152"/>
      <c r="E426" s="152"/>
      <c r="F426" s="152"/>
    </row>
    <row r="427" spans="1:7">
      <c r="A427" s="147"/>
      <c r="B427" s="147" t="s">
        <v>2228</v>
      </c>
      <c r="C427" s="541">
        <v>2692265</v>
      </c>
      <c r="D427" s="541">
        <v>203578</v>
      </c>
      <c r="E427" s="541">
        <v>203578</v>
      </c>
      <c r="F427" s="541">
        <v>2692265</v>
      </c>
    </row>
  </sheetData>
  <autoFilter ref="A3:G425" xr:uid="{00000000-0009-0000-0000-000018000000}">
    <sortState xmlns:xlrd2="http://schemas.microsoft.com/office/spreadsheetml/2017/richdata2" ref="A4:G425">
      <sortCondition descending="1" ref="G3:G425"/>
    </sortState>
  </autoFilter>
  <mergeCells count="1">
    <mergeCell ref="A2:G2"/>
  </mergeCells>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O17"/>
  <sheetViews>
    <sheetView workbookViewId="0">
      <selection activeCell="C17" sqref="C17"/>
    </sheetView>
  </sheetViews>
  <sheetFormatPr defaultRowHeight="14.4"/>
  <cols>
    <col min="2" max="2" width="14.109375" customWidth="1"/>
    <col min="3" max="3" width="11.6640625" bestFit="1" customWidth="1"/>
    <col min="4" max="4" width="15.6640625" bestFit="1" customWidth="1"/>
    <col min="5" max="5" width="12.5546875" bestFit="1" customWidth="1"/>
    <col min="7" max="7" width="12.109375" customWidth="1"/>
    <col min="8" max="8" width="11.6640625" bestFit="1" customWidth="1"/>
    <col min="9" max="9" width="15.6640625" bestFit="1" customWidth="1"/>
    <col min="10" max="10" width="12.5546875" bestFit="1" customWidth="1"/>
    <col min="12" max="12" width="13.33203125" customWidth="1"/>
    <col min="13" max="13" width="11.6640625" bestFit="1" customWidth="1"/>
    <col min="14" max="14" width="15.6640625" bestFit="1" customWidth="1"/>
    <col min="15" max="15" width="12.5546875" bestFit="1" customWidth="1"/>
  </cols>
  <sheetData>
    <row r="2" spans="2:15">
      <c r="B2" s="146" t="s">
        <v>2363</v>
      </c>
      <c r="C2" s="146"/>
      <c r="G2" s="146" t="s">
        <v>2368</v>
      </c>
      <c r="L2" s="146" t="s">
        <v>2371</v>
      </c>
    </row>
    <row r="3" spans="2:15">
      <c r="B3" s="146" t="s">
        <v>2369</v>
      </c>
      <c r="G3" s="146" t="s">
        <v>2370</v>
      </c>
      <c r="L3" s="146" t="s">
        <v>2372</v>
      </c>
    </row>
    <row r="4" spans="2:15">
      <c r="B4" s="505" t="s">
        <v>2364</v>
      </c>
      <c r="C4" s="505" t="s">
        <v>2366</v>
      </c>
      <c r="D4" s="505" t="s">
        <v>2365</v>
      </c>
      <c r="E4" s="505" t="s">
        <v>911</v>
      </c>
      <c r="G4" s="505" t="s">
        <v>2364</v>
      </c>
      <c r="H4" s="505" t="s">
        <v>2366</v>
      </c>
      <c r="I4" s="505" t="s">
        <v>2365</v>
      </c>
      <c r="J4" s="505" t="s">
        <v>911</v>
      </c>
      <c r="L4" s="505" t="s">
        <v>2364</v>
      </c>
      <c r="M4" s="505" t="s">
        <v>2366</v>
      </c>
      <c r="N4" s="505" t="s">
        <v>2365</v>
      </c>
      <c r="O4" s="505" t="s">
        <v>911</v>
      </c>
    </row>
    <row r="5" spans="2:15">
      <c r="B5" s="628">
        <v>45047</v>
      </c>
      <c r="C5" s="506">
        <v>0</v>
      </c>
      <c r="D5" s="506">
        <v>44400</v>
      </c>
      <c r="E5" s="506">
        <f>+C5+D5</f>
        <v>44400</v>
      </c>
      <c r="L5" s="628">
        <v>45046</v>
      </c>
      <c r="M5" s="506">
        <v>391668</v>
      </c>
      <c r="N5" s="506">
        <v>37062</v>
      </c>
      <c r="O5" s="506">
        <f>+M5+N5</f>
        <v>428730</v>
      </c>
    </row>
    <row r="6" spans="2:15">
      <c r="B6" s="628">
        <v>45078</v>
      </c>
      <c r="C6" s="506">
        <v>0</v>
      </c>
      <c r="D6" s="506">
        <v>45800</v>
      </c>
      <c r="E6" s="506">
        <f t="shared" ref="E6:E16" si="0">+C6+D6</f>
        <v>45800</v>
      </c>
      <c r="L6" s="628">
        <v>45077</v>
      </c>
      <c r="M6" s="506">
        <v>391668</v>
      </c>
      <c r="N6" s="506">
        <v>33490</v>
      </c>
      <c r="O6" s="506">
        <f t="shared" ref="O6:O16" si="1">+M6+N6</f>
        <v>425158</v>
      </c>
    </row>
    <row r="7" spans="2:15">
      <c r="B7" s="628">
        <v>45108</v>
      </c>
      <c r="C7" s="506">
        <v>0</v>
      </c>
      <c r="D7" s="506">
        <v>44400</v>
      </c>
      <c r="E7" s="506">
        <f t="shared" si="0"/>
        <v>44400</v>
      </c>
      <c r="L7" s="628">
        <v>45107</v>
      </c>
      <c r="M7" s="506">
        <v>391668</v>
      </c>
      <c r="N7" s="506">
        <v>32126</v>
      </c>
      <c r="O7" s="506">
        <f t="shared" si="1"/>
        <v>423794</v>
      </c>
    </row>
    <row r="8" spans="2:15">
      <c r="B8" s="628">
        <v>45139</v>
      </c>
      <c r="C8" s="506">
        <v>0</v>
      </c>
      <c r="D8" s="506">
        <v>45880</v>
      </c>
      <c r="E8" s="506">
        <f t="shared" si="0"/>
        <v>45880</v>
      </c>
      <c r="L8" s="628">
        <v>45138</v>
      </c>
      <c r="M8" s="506">
        <v>391668</v>
      </c>
      <c r="N8" s="506">
        <v>28696</v>
      </c>
      <c r="O8" s="506">
        <f t="shared" si="1"/>
        <v>420364</v>
      </c>
    </row>
    <row r="9" spans="2:15">
      <c r="B9" s="628">
        <v>45170</v>
      </c>
      <c r="C9" s="506">
        <v>0</v>
      </c>
      <c r="D9" s="506">
        <v>45880</v>
      </c>
      <c r="E9" s="506">
        <f t="shared" si="0"/>
        <v>45880</v>
      </c>
      <c r="L9" s="628">
        <v>45169</v>
      </c>
      <c r="M9" s="506">
        <v>391668</v>
      </c>
      <c r="N9" s="506">
        <v>27173</v>
      </c>
      <c r="O9" s="506">
        <f t="shared" si="1"/>
        <v>418841</v>
      </c>
    </row>
    <row r="10" spans="2:15">
      <c r="B10" s="628">
        <v>45200</v>
      </c>
      <c r="C10" s="506">
        <v>0</v>
      </c>
      <c r="D10" s="506">
        <v>44400</v>
      </c>
      <c r="E10" s="506">
        <f t="shared" si="0"/>
        <v>44400</v>
      </c>
      <c r="L10" s="628">
        <v>45199</v>
      </c>
      <c r="M10" s="506">
        <v>391668</v>
      </c>
      <c r="N10" s="506">
        <v>24702</v>
      </c>
      <c r="O10" s="506">
        <f t="shared" si="1"/>
        <v>416370</v>
      </c>
    </row>
    <row r="11" spans="2:15">
      <c r="B11" s="628">
        <v>45231</v>
      </c>
      <c r="C11" s="506">
        <v>0</v>
      </c>
      <c r="D11" s="506">
        <v>45880</v>
      </c>
      <c r="E11" s="506">
        <f t="shared" si="0"/>
        <v>45880</v>
      </c>
      <c r="L11" s="628">
        <v>45230</v>
      </c>
      <c r="M11" s="506">
        <v>391668</v>
      </c>
      <c r="N11" s="506">
        <v>21506</v>
      </c>
      <c r="O11" s="506">
        <f t="shared" si="1"/>
        <v>413174</v>
      </c>
    </row>
    <row r="12" spans="2:15">
      <c r="B12" s="628">
        <v>45261</v>
      </c>
      <c r="C12" s="506">
        <v>202778</v>
      </c>
      <c r="D12" s="506">
        <v>44400</v>
      </c>
      <c r="E12" s="506">
        <f t="shared" si="0"/>
        <v>247178</v>
      </c>
      <c r="L12" s="628">
        <v>45260</v>
      </c>
      <c r="M12" s="506">
        <v>391668</v>
      </c>
      <c r="N12" s="506">
        <v>19745</v>
      </c>
      <c r="O12" s="506">
        <f t="shared" si="1"/>
        <v>411413</v>
      </c>
    </row>
    <row r="13" spans="2:15">
      <c r="B13" s="628">
        <v>45292</v>
      </c>
      <c r="C13" s="506">
        <v>202778</v>
      </c>
      <c r="D13" s="506">
        <v>44606</v>
      </c>
      <c r="E13" s="506">
        <f t="shared" si="0"/>
        <v>247384</v>
      </c>
      <c r="L13" s="628">
        <v>45291</v>
      </c>
      <c r="M13" s="506">
        <v>391668</v>
      </c>
      <c r="N13" s="506">
        <v>16712</v>
      </c>
      <c r="O13" s="506">
        <f t="shared" si="1"/>
        <v>408380</v>
      </c>
    </row>
    <row r="14" spans="2:15">
      <c r="B14" s="628">
        <v>45323</v>
      </c>
      <c r="C14" s="506">
        <v>202778</v>
      </c>
      <c r="D14" s="506">
        <v>43332</v>
      </c>
      <c r="E14" s="506">
        <f t="shared" si="0"/>
        <v>246110</v>
      </c>
      <c r="L14" s="628">
        <v>45322</v>
      </c>
      <c r="M14" s="506">
        <v>391668</v>
      </c>
      <c r="N14" s="506">
        <v>14792</v>
      </c>
      <c r="O14" s="506">
        <f t="shared" si="1"/>
        <v>406460</v>
      </c>
    </row>
    <row r="15" spans="2:15">
      <c r="B15" s="628">
        <v>45352</v>
      </c>
      <c r="C15" s="506">
        <v>202778</v>
      </c>
      <c r="D15" s="506">
        <v>39344</v>
      </c>
      <c r="E15" s="506">
        <f t="shared" si="0"/>
        <v>242122</v>
      </c>
      <c r="L15" s="628">
        <v>45351</v>
      </c>
      <c r="M15" s="506">
        <v>391668</v>
      </c>
      <c r="N15" s="506">
        <v>12319</v>
      </c>
      <c r="O15" s="506">
        <f t="shared" si="1"/>
        <v>403987</v>
      </c>
    </row>
    <row r="16" spans="2:15">
      <c r="B16" s="628">
        <v>45383</v>
      </c>
      <c r="C16" s="506">
        <v>202778</v>
      </c>
      <c r="D16" s="506">
        <v>40783</v>
      </c>
      <c r="E16" s="506">
        <f t="shared" si="0"/>
        <v>243561</v>
      </c>
      <c r="L16" s="628">
        <v>45382</v>
      </c>
      <c r="M16" s="506">
        <v>391668</v>
      </c>
      <c r="N16" s="506">
        <v>9202</v>
      </c>
      <c r="O16" s="506">
        <f t="shared" si="1"/>
        <v>400870</v>
      </c>
    </row>
    <row r="17" spans="2:15">
      <c r="B17" s="505" t="s">
        <v>2367</v>
      </c>
      <c r="C17" s="629">
        <f>SUM(C5:C16)</f>
        <v>1013890</v>
      </c>
      <c r="D17" s="629">
        <f>SUM(D5:D16)</f>
        <v>529105</v>
      </c>
      <c r="E17" s="150">
        <f>SUM(E5:E16)</f>
        <v>1542995</v>
      </c>
      <c r="L17" s="505" t="s">
        <v>2367</v>
      </c>
      <c r="M17" s="629">
        <f>SUM(M5:M16)</f>
        <v>4700016</v>
      </c>
      <c r="N17" s="629">
        <f>SUM(N5:N16)</f>
        <v>277525</v>
      </c>
      <c r="O17" s="150">
        <f>SUM(O5:O16)</f>
        <v>4977541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42"/>
  <sheetViews>
    <sheetView topLeftCell="C24" workbookViewId="0">
      <selection activeCell="H46" sqref="H46"/>
    </sheetView>
  </sheetViews>
  <sheetFormatPr defaultColWidth="9.109375" defaultRowHeight="14.4"/>
  <cols>
    <col min="1" max="1" width="9.33203125" bestFit="1" customWidth="1"/>
    <col min="2" max="2" width="50.6640625" bestFit="1" customWidth="1"/>
    <col min="3" max="3" width="15.6640625" customWidth="1"/>
    <col min="4" max="4" width="15.109375" customWidth="1"/>
    <col min="5" max="5" width="22.5546875" bestFit="1" customWidth="1"/>
    <col min="6" max="7" width="22.44140625" customWidth="1"/>
    <col min="8" max="8" width="22.5546875" bestFit="1" customWidth="1"/>
    <col min="9" max="10" width="22.44140625" customWidth="1"/>
    <col min="11" max="11" width="22.5546875" bestFit="1" customWidth="1"/>
    <col min="12" max="12" width="11" bestFit="1" customWidth="1"/>
    <col min="13" max="13" width="9.6640625" bestFit="1" customWidth="1"/>
  </cols>
  <sheetData>
    <row r="1" spans="1:14">
      <c r="A1">
        <v>1</v>
      </c>
    </row>
    <row r="3" spans="1:14" ht="18">
      <c r="B3" s="2398" t="s">
        <v>785</v>
      </c>
      <c r="C3" s="2399"/>
      <c r="D3" s="2399"/>
      <c r="E3" s="2399"/>
      <c r="F3" s="2399"/>
      <c r="G3" s="2399"/>
      <c r="H3" s="2399"/>
      <c r="I3" s="2399"/>
      <c r="J3" s="2399"/>
      <c r="K3" s="2399"/>
    </row>
    <row r="4" spans="1:14" ht="18">
      <c r="B4" s="2400" t="s">
        <v>2264</v>
      </c>
      <c r="C4" s="2212"/>
      <c r="D4" s="2212"/>
      <c r="E4" s="2212"/>
      <c r="F4" s="2212"/>
      <c r="G4" s="2212"/>
      <c r="H4" s="2212"/>
      <c r="I4" s="2212"/>
      <c r="J4" s="2212"/>
      <c r="K4" s="2212"/>
    </row>
    <row r="5" spans="1:14" ht="18">
      <c r="B5" s="2401" t="s">
        <v>532</v>
      </c>
      <c r="C5" s="2402" t="s">
        <v>2265</v>
      </c>
      <c r="D5" s="2402"/>
      <c r="E5" s="2402"/>
      <c r="F5" s="2402" t="s">
        <v>2253</v>
      </c>
      <c r="G5" s="2402"/>
      <c r="H5" s="2402"/>
      <c r="I5" s="2402" t="s">
        <v>2254</v>
      </c>
      <c r="J5" s="2402"/>
      <c r="K5" s="2402"/>
    </row>
    <row r="6" spans="1:14" ht="18">
      <c r="B6" s="2401"/>
      <c r="C6" s="509" t="s">
        <v>2073</v>
      </c>
      <c r="D6" s="509" t="s">
        <v>2255</v>
      </c>
      <c r="E6" s="100" t="s">
        <v>2152</v>
      </c>
      <c r="F6" s="509" t="s">
        <v>2073</v>
      </c>
      <c r="G6" s="509" t="s">
        <v>2255</v>
      </c>
      <c r="H6" s="100" t="s">
        <v>2152</v>
      </c>
      <c r="I6" s="509" t="s">
        <v>2073</v>
      </c>
      <c r="J6" s="509" t="s">
        <v>2255</v>
      </c>
      <c r="K6" s="100" t="s">
        <v>2152</v>
      </c>
    </row>
    <row r="7" spans="1:14" ht="18">
      <c r="B7" s="510" t="s">
        <v>842</v>
      </c>
      <c r="C7" s="511">
        <v>33749.792999999998</v>
      </c>
      <c r="D7" s="512">
        <f>+E7/C7</f>
        <v>30900.165889017459</v>
      </c>
      <c r="E7" s="42">
        <f>+BSPL!G469</f>
        <v>1042874202.4200001</v>
      </c>
      <c r="F7" s="513">
        <v>32530.695</v>
      </c>
      <c r="G7" s="514">
        <f>+H7/F7</f>
        <v>34262.671324728843</v>
      </c>
      <c r="H7" s="42">
        <f>+BSPL!H469</f>
        <v>1114588510.75</v>
      </c>
      <c r="I7" s="513">
        <v>32969.936000000009</v>
      </c>
      <c r="J7" s="514">
        <v>24291.904637000196</v>
      </c>
      <c r="K7" s="42">
        <v>800902541.19999993</v>
      </c>
    </row>
    <row r="8" spans="1:14" ht="18">
      <c r="B8" s="436" t="s">
        <v>843</v>
      </c>
      <c r="C8" s="19"/>
      <c r="D8" s="19"/>
      <c r="E8" s="21">
        <f>+BSPL!G478-BSPL!G477</f>
        <v>889167.66984900099</v>
      </c>
      <c r="F8" s="21"/>
      <c r="G8" s="21"/>
      <c r="H8" s="21">
        <f>+BSPL!H478</f>
        <v>1391218.6099999999</v>
      </c>
      <c r="I8" s="21"/>
      <c r="J8" s="21"/>
      <c r="K8" s="21">
        <v>1189801</v>
      </c>
    </row>
    <row r="9" spans="1:14" ht="18">
      <c r="B9" s="515" t="s">
        <v>844</v>
      </c>
      <c r="C9" s="516">
        <f>+C7</f>
        <v>33749.792999999998</v>
      </c>
      <c r="D9" s="517">
        <f>+E9/C9</f>
        <v>30926.511759341731</v>
      </c>
      <c r="E9" s="43">
        <f>+E7+E8</f>
        <v>1043763370.0898491</v>
      </c>
      <c r="F9" s="516">
        <f>+F7</f>
        <v>32530.695</v>
      </c>
      <c r="G9" s="517">
        <v>34305.437660031545</v>
      </c>
      <c r="H9" s="43">
        <f>SUM(H7:H8)</f>
        <v>1115979729.3599999</v>
      </c>
      <c r="I9" s="537">
        <f t="shared" ref="I9" si="0">SUM(I7:I8)</f>
        <v>32969.936000000009</v>
      </c>
      <c r="J9" s="537">
        <v>24327.99</v>
      </c>
      <c r="K9" s="43">
        <f>SUM(K7:K8)</f>
        <v>802092342.19999993</v>
      </c>
      <c r="L9" s="136">
        <f>+E9-E10</f>
        <v>-4034703.6506356001</v>
      </c>
      <c r="M9" s="136">
        <f>+K9-K10</f>
        <v>1226836.3130828142</v>
      </c>
    </row>
    <row r="10" spans="1:14" ht="18">
      <c r="B10" s="518" t="s">
        <v>2256</v>
      </c>
      <c r="C10" s="519">
        <v>33880.254000000001</v>
      </c>
      <c r="D10" s="520">
        <f>+D9</f>
        <v>30926.511759341731</v>
      </c>
      <c r="E10" s="521">
        <f>+D10*C10</f>
        <v>1047798073.7404847</v>
      </c>
      <c r="F10" s="519">
        <v>32626.841</v>
      </c>
      <c r="G10" s="520">
        <f>+G9</f>
        <v>34305.437660031545</v>
      </c>
      <c r="H10" s="521">
        <f>+F10*G10</f>
        <v>1119278059.9692612</v>
      </c>
      <c r="I10" s="519">
        <v>32919.506999999998</v>
      </c>
      <c r="J10" s="519">
        <f>+J9</f>
        <v>24327.99</v>
      </c>
      <c r="K10" s="521">
        <v>800865505.88691711</v>
      </c>
      <c r="L10" s="522">
        <f>+C9-C10</f>
        <v>-130.46100000000297</v>
      </c>
      <c r="M10" s="12">
        <f>+I9-I10</f>
        <v>50.429000000011001</v>
      </c>
      <c r="N10" s="136"/>
    </row>
    <row r="11" spans="1:14" ht="18">
      <c r="B11" s="518"/>
      <c r="C11" s="519"/>
      <c r="D11" s="520"/>
      <c r="E11" s="521"/>
      <c r="F11" s="519"/>
      <c r="G11" s="520"/>
      <c r="H11" s="521"/>
      <c r="I11" s="519"/>
      <c r="J11" s="520"/>
      <c r="K11" s="521"/>
      <c r="L11" s="12"/>
    </row>
    <row r="12" spans="1:14" ht="18">
      <c r="B12" s="523" t="s">
        <v>845</v>
      </c>
      <c r="C12" s="436"/>
      <c r="D12" s="436"/>
      <c r="E12" s="17"/>
      <c r="F12" s="17"/>
      <c r="G12" s="17"/>
      <c r="H12" s="17"/>
      <c r="I12" s="17"/>
      <c r="J12" s="17"/>
      <c r="K12" s="17"/>
    </row>
    <row r="13" spans="1:14" ht="18">
      <c r="B13" s="436" t="s">
        <v>846</v>
      </c>
      <c r="C13" s="524">
        <f>+C10</f>
        <v>33880.254000000001</v>
      </c>
      <c r="D13" s="525">
        <f>+E13/C13</f>
        <v>24058.960882240186</v>
      </c>
      <c r="E13" s="21">
        <f>+BSPL!G81</f>
        <v>815123705.66636157</v>
      </c>
      <c r="F13" s="526">
        <v>32626.841</v>
      </c>
      <c r="G13" s="525">
        <v>26571.440376345352</v>
      </c>
      <c r="H13" s="21">
        <f>+BSPL!H81</f>
        <v>866942160.29999995</v>
      </c>
      <c r="I13" s="526">
        <v>32919.506999999998</v>
      </c>
      <c r="J13" s="525">
        <v>16796.111098808375</v>
      </c>
      <c r="K13" s="21">
        <v>552919696.88999999</v>
      </c>
    </row>
    <row r="14" spans="1:14" ht="18">
      <c r="B14" s="436" t="s">
        <v>847</v>
      </c>
      <c r="C14" s="19"/>
      <c r="D14" s="19"/>
      <c r="E14" s="21">
        <v>0</v>
      </c>
      <c r="F14" s="21"/>
      <c r="G14" s="21"/>
      <c r="H14" s="21">
        <v>0</v>
      </c>
      <c r="I14" s="21"/>
      <c r="J14" s="21"/>
      <c r="K14" s="21">
        <v>0</v>
      </c>
    </row>
    <row r="15" spans="1:14" ht="18">
      <c r="B15" s="538" t="s">
        <v>2257</v>
      </c>
      <c r="C15" s="524"/>
      <c r="D15" s="525"/>
      <c r="E15" s="21">
        <f>+BSPL!G83</f>
        <v>623065</v>
      </c>
      <c r="F15" s="524"/>
      <c r="G15" s="525"/>
      <c r="H15" s="21">
        <f>+BSPL!H83</f>
        <v>-988480.28211065382</v>
      </c>
      <c r="I15" s="524"/>
      <c r="J15" s="525"/>
      <c r="K15" s="21">
        <v>-8248259.7178893462</v>
      </c>
    </row>
    <row r="16" spans="1:14" ht="18">
      <c r="B16" s="436" t="s">
        <v>849</v>
      </c>
      <c r="C16" s="524"/>
      <c r="D16" s="525"/>
      <c r="E16" s="21">
        <f>+BSPL!G84</f>
        <v>18473732</v>
      </c>
      <c r="F16" s="524"/>
      <c r="G16" s="525"/>
      <c r="H16" s="21">
        <f>+BSPL!H84</f>
        <v>24533935</v>
      </c>
      <c r="I16" s="524"/>
      <c r="J16" s="525"/>
      <c r="K16" s="21">
        <v>21641049</v>
      </c>
    </row>
    <row r="17" spans="2:11" ht="18">
      <c r="B17" s="527" t="s">
        <v>851</v>
      </c>
      <c r="C17" s="524"/>
      <c r="D17" s="525"/>
      <c r="E17" s="21">
        <f>+BSPL!G86</f>
        <v>18081667</v>
      </c>
      <c r="F17" s="524"/>
      <c r="G17" s="525"/>
      <c r="H17" s="21">
        <f>+BSPL!H86</f>
        <v>17957748.491325565</v>
      </c>
      <c r="I17" s="524"/>
      <c r="J17" s="525"/>
      <c r="K17" s="21">
        <v>17727982</v>
      </c>
    </row>
    <row r="18" spans="2:11" ht="18">
      <c r="B18" s="436" t="s">
        <v>2258</v>
      </c>
      <c r="C18" s="524"/>
      <c r="D18" s="525"/>
      <c r="E18" s="21">
        <f>+BSPL!G513</f>
        <v>232179744.67999998</v>
      </c>
      <c r="F18" s="524"/>
      <c r="G18" s="525"/>
      <c r="H18" s="21">
        <f>+BSPL!H513</f>
        <v>192663865.22000003</v>
      </c>
      <c r="I18" s="524"/>
      <c r="J18" s="525"/>
      <c r="K18" s="21">
        <v>168170836.64999998</v>
      </c>
    </row>
    <row r="19" spans="2:11" ht="18">
      <c r="B19" s="515" t="s">
        <v>2259</v>
      </c>
      <c r="C19" s="528">
        <f>+C13</f>
        <v>33880.254000000001</v>
      </c>
      <c r="D19" s="529">
        <f>+E19/C19</f>
        <v>32009.261629099994</v>
      </c>
      <c r="E19" s="22">
        <f>+SUM(E13:E18)</f>
        <v>1084481914.3463616</v>
      </c>
      <c r="F19" s="528">
        <v>32626.841</v>
      </c>
      <c r="G19" s="529">
        <v>33748.570041740015</v>
      </c>
      <c r="H19" s="22">
        <f>SUM(H13:H18)</f>
        <v>1101109228.7292149</v>
      </c>
      <c r="I19" s="528">
        <v>32919.506999999998</v>
      </c>
      <c r="J19" s="529">
        <f>+K19/I19</f>
        <v>22850.017311076703</v>
      </c>
      <c r="K19" s="22">
        <f>SUM(K13:K18)</f>
        <v>752211304.82211065</v>
      </c>
    </row>
    <row r="20" spans="2:11" ht="18">
      <c r="B20" s="515" t="s">
        <v>2260</v>
      </c>
      <c r="C20" s="528">
        <f>+C19</f>
        <v>33880.254000000001</v>
      </c>
      <c r="D20" s="529">
        <f>+E20/C20</f>
        <v>-1082.7498697582646</v>
      </c>
      <c r="E20" s="530">
        <f>+E10-E19</f>
        <v>-36683840.605876923</v>
      </c>
      <c r="F20" s="528">
        <v>32626.841</v>
      </c>
      <c r="G20" s="529">
        <v>556.86761829152454</v>
      </c>
      <c r="H20" s="530">
        <f>+H10-H19</f>
        <v>18168831.240046263</v>
      </c>
      <c r="I20" s="528">
        <f>+I19</f>
        <v>32919.506999999998</v>
      </c>
      <c r="J20" s="529">
        <f>+K20/I20</f>
        <v>1477.9747784438712</v>
      </c>
      <c r="K20" s="530">
        <f>+K10-K19</f>
        <v>48654201.064806461</v>
      </c>
    </row>
    <row r="21" spans="2:11" ht="18">
      <c r="B21" s="436" t="s">
        <v>850</v>
      </c>
      <c r="C21" s="524"/>
      <c r="D21" s="525"/>
      <c r="E21" s="21">
        <f>+BSPL!G497</f>
        <v>8587641</v>
      </c>
      <c r="F21" s="524"/>
      <c r="G21" s="525"/>
      <c r="H21" s="21">
        <f>+BSPL!H497</f>
        <v>7602953.1500000004</v>
      </c>
      <c r="I21" s="524"/>
      <c r="J21" s="525"/>
      <c r="K21" s="21">
        <v>6372184.9500000002</v>
      </c>
    </row>
    <row r="22" spans="2:11" ht="18">
      <c r="B22" s="436" t="s">
        <v>852</v>
      </c>
      <c r="C22" s="524"/>
      <c r="D22" s="525"/>
      <c r="E22" s="21">
        <f>+BSPL!G544+BSPL!G550-BSPL!G527</f>
        <v>10114508.08</v>
      </c>
      <c r="F22" s="21"/>
      <c r="G22" s="525"/>
      <c r="H22" s="21">
        <f>+BSPL!H544+BSPL!H550-BSPL!H527</f>
        <v>12306160.720000001</v>
      </c>
      <c r="I22" s="21"/>
      <c r="J22" s="525"/>
      <c r="K22" s="21">
        <v>13190939.350000001</v>
      </c>
    </row>
    <row r="23" spans="2:11" ht="18">
      <c r="B23" s="515" t="s">
        <v>853</v>
      </c>
      <c r="C23" s="531">
        <f>+C13</f>
        <v>33880.254000000001</v>
      </c>
      <c r="D23" s="532">
        <f>+E23/C23</f>
        <v>32561.268974735594</v>
      </c>
      <c r="E23" s="43">
        <f>+SUM(E21:E22)+E19</f>
        <v>1103184063.4263616</v>
      </c>
      <c r="F23" s="531">
        <v>32626.841</v>
      </c>
      <c r="G23" s="532">
        <v>34358.776646479957</v>
      </c>
      <c r="H23" s="43">
        <f>SUM(H21:H22)+H19</f>
        <v>1121018342.5992148</v>
      </c>
      <c r="I23" s="531">
        <v>32919.506999999998</v>
      </c>
      <c r="J23" s="532">
        <v>23444.288795762059</v>
      </c>
      <c r="K23" s="43">
        <f>SUM(K21:K22)+K19</f>
        <v>771774429.12211061</v>
      </c>
    </row>
    <row r="24" spans="2:11" ht="18">
      <c r="B24" s="533" t="s">
        <v>2261</v>
      </c>
      <c r="C24" s="531">
        <f>+C23</f>
        <v>33880.254000000001</v>
      </c>
      <c r="D24" s="532">
        <f>+E24/C24</f>
        <v>-1634.7572153938647</v>
      </c>
      <c r="E24" s="43">
        <f>+E10-E23</f>
        <v>-55385989.685876846</v>
      </c>
      <c r="F24" s="531">
        <v>32626.841</v>
      </c>
      <c r="G24" s="532">
        <v>-53.33898644841598</v>
      </c>
      <c r="H24" s="43">
        <f>+H10-H23</f>
        <v>-1740282.6299536228</v>
      </c>
      <c r="I24" s="531">
        <v>32919.506999999998</v>
      </c>
      <c r="J24" s="532">
        <v>883.70329375851566</v>
      </c>
      <c r="K24" s="43">
        <f>+K10-K23</f>
        <v>29091076.764806509</v>
      </c>
    </row>
    <row r="25" spans="2:11" ht="18">
      <c r="B25" s="527" t="s">
        <v>855</v>
      </c>
      <c r="C25" s="436"/>
      <c r="D25" s="436"/>
      <c r="E25" s="17"/>
      <c r="F25" s="17"/>
      <c r="G25" s="17"/>
      <c r="H25" s="17"/>
      <c r="I25" s="17"/>
      <c r="J25" s="17"/>
      <c r="K25" s="17">
        <v>0</v>
      </c>
    </row>
    <row r="26" spans="2:11" ht="18">
      <c r="B26" s="527"/>
      <c r="C26" s="436"/>
      <c r="D26" s="436"/>
      <c r="E26" s="17"/>
      <c r="F26" s="17"/>
      <c r="G26" s="17"/>
      <c r="H26" s="17"/>
      <c r="I26" s="17"/>
      <c r="J26" s="17"/>
      <c r="K26" s="17"/>
    </row>
    <row r="27" spans="2:11" ht="18">
      <c r="B27" s="515" t="s">
        <v>856</v>
      </c>
      <c r="C27" s="534"/>
      <c r="D27" s="534"/>
      <c r="E27" s="43">
        <f>+E24-E25</f>
        <v>-55385989.685876846</v>
      </c>
      <c r="F27" s="43"/>
      <c r="G27" s="43"/>
      <c r="H27" s="43">
        <f>+H24-H25</f>
        <v>-1740282.6299536228</v>
      </c>
      <c r="I27" s="43"/>
      <c r="J27" s="43"/>
      <c r="K27" s="43">
        <f>+K24-K25</f>
        <v>29091076.764806509</v>
      </c>
    </row>
    <row r="28" spans="2:11" ht="18">
      <c r="B28" s="436" t="s">
        <v>857</v>
      </c>
      <c r="C28" s="535"/>
      <c r="D28" s="535"/>
      <c r="E28" s="17"/>
      <c r="F28" s="17"/>
      <c r="G28" s="17"/>
      <c r="H28" s="17"/>
      <c r="I28" s="17"/>
      <c r="J28" s="17"/>
      <c r="K28" s="17"/>
    </row>
    <row r="29" spans="2:11" ht="18">
      <c r="B29" s="436" t="s">
        <v>858</v>
      </c>
      <c r="C29" s="19"/>
      <c r="D29" s="19"/>
      <c r="E29" s="20">
        <v>0</v>
      </c>
      <c r="F29" s="20"/>
      <c r="G29" s="20"/>
      <c r="H29" s="20">
        <v>0</v>
      </c>
      <c r="I29" s="20"/>
      <c r="J29" s="20"/>
      <c r="K29" s="20">
        <f>+K27*0.22</f>
        <v>6400036.8882574318</v>
      </c>
    </row>
    <row r="30" spans="2:11" ht="18">
      <c r="B30" s="436" t="s">
        <v>2262</v>
      </c>
      <c r="C30" s="19"/>
      <c r="D30" s="19"/>
      <c r="E30" s="23"/>
      <c r="F30" s="23"/>
      <c r="G30" s="23"/>
      <c r="H30" s="21"/>
      <c r="I30" s="23"/>
      <c r="J30" s="23"/>
      <c r="K30" s="21"/>
    </row>
    <row r="31" spans="2:11" ht="18">
      <c r="B31" s="436" t="s">
        <v>2263</v>
      </c>
      <c r="C31" s="19"/>
      <c r="D31" s="19"/>
      <c r="E31" s="23"/>
      <c r="F31" s="23"/>
      <c r="G31" s="23"/>
      <c r="H31" s="21"/>
      <c r="I31" s="23"/>
      <c r="J31" s="23"/>
      <c r="K31" s="21"/>
    </row>
    <row r="32" spans="2:11" ht="18">
      <c r="B32" s="436"/>
      <c r="C32" s="19"/>
      <c r="D32" s="19"/>
      <c r="E32" s="23">
        <f>+SUM(E29:E31)</f>
        <v>0</v>
      </c>
      <c r="F32" s="23"/>
      <c r="G32" s="23"/>
      <c r="H32" s="23">
        <f>SUM(H29:H31)</f>
        <v>0</v>
      </c>
      <c r="I32" s="23"/>
      <c r="J32" s="23"/>
      <c r="K32" s="23">
        <f>SUM(K29:K31)</f>
        <v>6400036.8882574318</v>
      </c>
    </row>
    <row r="33" spans="2:11" ht="18">
      <c r="B33" s="515" t="s">
        <v>861</v>
      </c>
      <c r="C33" s="536"/>
      <c r="D33" s="536"/>
      <c r="E33" s="43">
        <f>+E27-E32</f>
        <v>-55385989.685876846</v>
      </c>
      <c r="F33" s="43"/>
      <c r="G33" s="43"/>
      <c r="H33" s="43">
        <f>+H27-H32</f>
        <v>-1740282.6299536228</v>
      </c>
      <c r="I33" s="43"/>
      <c r="J33" s="43"/>
      <c r="K33" s="43">
        <f>+K27-K32</f>
        <v>22691039.876549076</v>
      </c>
    </row>
    <row r="36" spans="2:11">
      <c r="B36" s="146" t="s">
        <v>2266</v>
      </c>
    </row>
    <row r="37" spans="2:11">
      <c r="B37" t="s">
        <v>2267</v>
      </c>
      <c r="C37" s="539">
        <f>+BSPL!G99</f>
        <v>-37729675.915287264</v>
      </c>
    </row>
    <row r="38" spans="2:11">
      <c r="B38" t="s">
        <v>2269</v>
      </c>
      <c r="C38">
        <f>-BSPL!G477</f>
        <v>-202145.39</v>
      </c>
    </row>
    <row r="39" spans="2:11">
      <c r="B39" t="s">
        <v>314</v>
      </c>
      <c r="C39">
        <f>-BSPL!G472</f>
        <v>-9443500</v>
      </c>
      <c r="D39" s="136">
        <f>SUM(C37:C39)</f>
        <v>-47375321.305287264</v>
      </c>
    </row>
    <row r="40" spans="2:11">
      <c r="D40" s="136">
        <f>+D39-C42</f>
        <v>8010668.380589582</v>
      </c>
    </row>
    <row r="42" spans="2:11">
      <c r="B42" t="s">
        <v>2268</v>
      </c>
      <c r="C42" s="136">
        <f>+E33</f>
        <v>-55385989.685876846</v>
      </c>
    </row>
  </sheetData>
  <mergeCells count="6">
    <mergeCell ref="B3:K3"/>
    <mergeCell ref="B4:K4"/>
    <mergeCell ref="B5:B6"/>
    <mergeCell ref="C5:E5"/>
    <mergeCell ref="F5:H5"/>
    <mergeCell ref="I5:K5"/>
  </mergeCells>
  <pageMargins left="0.70866141732283472" right="0.70866141732283472" top="0.74803149606299213" bottom="0.74803149606299213" header="0.31496062992125984" footer="0.31496062992125984"/>
  <pageSetup paperSize="9" scale="48" orientation="landscape" horizontalDpi="4294967293"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39"/>
  <sheetViews>
    <sheetView workbookViewId="0">
      <selection activeCell="H46" sqref="H46"/>
    </sheetView>
  </sheetViews>
  <sheetFormatPr defaultRowHeight="14.4"/>
  <cols>
    <col min="1" max="1" width="15.88671875" bestFit="1" customWidth="1"/>
    <col min="2" max="2" width="16.109375" bestFit="1" customWidth="1"/>
    <col min="3" max="6" width="15.6640625" customWidth="1"/>
    <col min="7" max="7" width="12.6640625" customWidth="1"/>
    <col min="8" max="10" width="15.6640625" customWidth="1"/>
    <col min="11" max="12" width="13.33203125" bestFit="1" customWidth="1"/>
    <col min="16" max="16" width="13.33203125" bestFit="1" customWidth="1"/>
  </cols>
  <sheetData>
    <row r="1" spans="1:16">
      <c r="A1" s="2279" t="s">
        <v>2198</v>
      </c>
      <c r="B1" s="2279"/>
      <c r="C1" s="2279"/>
      <c r="D1" s="2279"/>
      <c r="E1" s="2279"/>
      <c r="F1" s="2279"/>
      <c r="G1" s="2279"/>
      <c r="H1" s="2279"/>
      <c r="I1" s="2279"/>
      <c r="J1" s="2279"/>
    </row>
    <row r="2" spans="1:16">
      <c r="A2" s="2279" t="s">
        <v>2199</v>
      </c>
      <c r="B2" s="2279"/>
      <c r="C2" s="2279"/>
      <c r="D2" s="2279"/>
      <c r="E2" s="2279"/>
      <c r="F2" s="2279"/>
      <c r="G2" s="2279"/>
      <c r="H2" s="2279"/>
      <c r="I2" s="2279"/>
      <c r="J2" s="2279"/>
    </row>
    <row r="3" spans="1:16">
      <c r="A3" s="2284" t="s">
        <v>2200</v>
      </c>
      <c r="B3" s="2403"/>
      <c r="C3" s="2403"/>
      <c r="D3" s="2403"/>
      <c r="E3" s="2403"/>
      <c r="F3" s="2284" t="s">
        <v>2201</v>
      </c>
      <c r="G3" s="2403"/>
      <c r="H3" s="2403"/>
      <c r="I3" s="2403"/>
      <c r="J3" s="2404"/>
    </row>
    <row r="4" spans="1:16" ht="28.8">
      <c r="A4" s="464" t="s">
        <v>2202</v>
      </c>
      <c r="B4" s="465" t="s">
        <v>2203</v>
      </c>
      <c r="C4" s="465" t="s">
        <v>2204</v>
      </c>
      <c r="D4" s="465" t="s">
        <v>2205</v>
      </c>
      <c r="E4" s="465" t="s">
        <v>2206</v>
      </c>
      <c r="F4" s="464" t="s">
        <v>2202</v>
      </c>
      <c r="G4" s="465" t="s">
        <v>2207</v>
      </c>
      <c r="H4" s="465" t="s">
        <v>2208</v>
      </c>
      <c r="I4" s="465" t="s">
        <v>2209</v>
      </c>
      <c r="J4" s="466" t="s">
        <v>2210</v>
      </c>
    </row>
    <row r="5" spans="1:16">
      <c r="A5" s="160" t="s">
        <v>2211</v>
      </c>
      <c r="B5" s="467">
        <v>41820</v>
      </c>
      <c r="C5" s="468">
        <v>246000</v>
      </c>
      <c r="D5" s="468">
        <v>209000</v>
      </c>
      <c r="E5" s="468">
        <f t="shared" ref="E5:E21" si="0">+C5-D5</f>
        <v>37000</v>
      </c>
      <c r="F5" s="160" t="s">
        <v>2211</v>
      </c>
      <c r="G5" s="467">
        <v>41900</v>
      </c>
      <c r="H5" s="468">
        <v>246000</v>
      </c>
      <c r="I5" s="469">
        <v>209000</v>
      </c>
      <c r="J5" s="470">
        <f>+H5-I5</f>
        <v>37000</v>
      </c>
      <c r="K5" s="471"/>
      <c r="P5" s="471"/>
    </row>
    <row r="6" spans="1:16">
      <c r="A6" s="160" t="s">
        <v>2212</v>
      </c>
      <c r="B6" s="467">
        <v>41820</v>
      </c>
      <c r="C6" s="468">
        <v>504000</v>
      </c>
      <c r="D6" s="468">
        <v>428400</v>
      </c>
      <c r="E6" s="468">
        <f t="shared" si="0"/>
        <v>75600</v>
      </c>
      <c r="F6" s="160" t="s">
        <v>2212</v>
      </c>
      <c r="G6" s="467">
        <v>41900</v>
      </c>
      <c r="H6" s="468">
        <v>504000</v>
      </c>
      <c r="I6" s="469">
        <v>428400</v>
      </c>
      <c r="J6" s="470">
        <f t="shared" ref="J6:J15" si="1">+H6-I6</f>
        <v>75600</v>
      </c>
      <c r="P6" s="471"/>
    </row>
    <row r="7" spans="1:16">
      <c r="A7" s="160" t="s">
        <v>2213</v>
      </c>
      <c r="B7" s="467">
        <v>41820</v>
      </c>
      <c r="C7" s="468">
        <v>1627500</v>
      </c>
      <c r="D7" s="468">
        <f>1383000+244500</f>
        <v>1627500</v>
      </c>
      <c r="E7" s="468">
        <f t="shared" si="0"/>
        <v>0</v>
      </c>
      <c r="F7" s="160" t="s">
        <v>2213</v>
      </c>
      <c r="G7" s="467">
        <v>41900</v>
      </c>
      <c r="H7" s="468">
        <v>1627500</v>
      </c>
      <c r="I7" s="469">
        <f>1383000+244500</f>
        <v>1627500</v>
      </c>
      <c r="J7" s="470">
        <f t="shared" si="1"/>
        <v>0</v>
      </c>
      <c r="P7" s="471"/>
    </row>
    <row r="8" spans="1:16">
      <c r="A8" s="160" t="s">
        <v>2214</v>
      </c>
      <c r="B8" s="467">
        <v>41820</v>
      </c>
      <c r="C8" s="468">
        <v>904000</v>
      </c>
      <c r="D8" s="468">
        <v>768000</v>
      </c>
      <c r="E8" s="468">
        <f t="shared" si="0"/>
        <v>136000</v>
      </c>
      <c r="F8" s="160" t="s">
        <v>2214</v>
      </c>
      <c r="G8" s="467">
        <v>41900</v>
      </c>
      <c r="H8" s="468">
        <v>904000</v>
      </c>
      <c r="I8" s="469">
        <v>768000</v>
      </c>
      <c r="J8" s="470">
        <f t="shared" si="1"/>
        <v>136000</v>
      </c>
      <c r="P8" s="471"/>
    </row>
    <row r="9" spans="1:16">
      <c r="A9" s="160" t="s">
        <v>2215</v>
      </c>
      <c r="B9" s="467">
        <v>41820</v>
      </c>
      <c r="C9" s="472">
        <v>1003000</v>
      </c>
      <c r="D9" s="472">
        <f>852000+151000</f>
        <v>1003000</v>
      </c>
      <c r="E9" s="468">
        <f t="shared" si="0"/>
        <v>0</v>
      </c>
      <c r="F9" s="160" t="s">
        <v>2215</v>
      </c>
      <c r="G9" s="467">
        <v>41900</v>
      </c>
      <c r="H9" s="472">
        <v>1003000</v>
      </c>
      <c r="I9" s="469">
        <f>852000+151000</f>
        <v>1003000</v>
      </c>
      <c r="J9" s="470">
        <f t="shared" si="1"/>
        <v>0</v>
      </c>
      <c r="P9" s="471"/>
    </row>
    <row r="10" spans="1:16">
      <c r="A10" s="160" t="s">
        <v>2216</v>
      </c>
      <c r="B10" s="467">
        <v>42062</v>
      </c>
      <c r="C10" s="472">
        <v>1481000</v>
      </c>
      <c r="D10" s="472">
        <f>1259000+222000</f>
        <v>1481000</v>
      </c>
      <c r="E10" s="468">
        <f t="shared" si="0"/>
        <v>0</v>
      </c>
      <c r="F10" s="160" t="s">
        <v>2216</v>
      </c>
      <c r="G10" s="467">
        <v>42164</v>
      </c>
      <c r="H10" s="472">
        <v>1481000</v>
      </c>
      <c r="I10" s="469">
        <f>1259000+222000</f>
        <v>1481000</v>
      </c>
      <c r="J10" s="470">
        <f t="shared" si="1"/>
        <v>0</v>
      </c>
      <c r="P10" s="471"/>
    </row>
    <row r="11" spans="1:16">
      <c r="A11" s="160" t="s">
        <v>2217</v>
      </c>
      <c r="B11" s="467">
        <v>42460</v>
      </c>
      <c r="C11" s="472">
        <v>1541000</v>
      </c>
      <c r="D11" s="472">
        <f>1310000+231000</f>
        <v>1541000</v>
      </c>
      <c r="E11" s="468">
        <f t="shared" si="0"/>
        <v>0</v>
      </c>
      <c r="F11" s="160" t="s">
        <v>2217</v>
      </c>
      <c r="G11" s="467">
        <v>42530</v>
      </c>
      <c r="H11" s="472">
        <v>1541000</v>
      </c>
      <c r="I11" s="469">
        <f>1310000+231000</f>
        <v>1541000</v>
      </c>
      <c r="J11" s="470">
        <f t="shared" si="1"/>
        <v>0</v>
      </c>
    </row>
    <row r="12" spans="1:16">
      <c r="A12" s="160" t="s">
        <v>2218</v>
      </c>
      <c r="B12" s="467">
        <v>42871</v>
      </c>
      <c r="C12" s="472">
        <v>1728000</v>
      </c>
      <c r="D12" s="472">
        <f>1468800+259200</f>
        <v>1728000</v>
      </c>
      <c r="E12" s="468">
        <f t="shared" si="0"/>
        <v>0</v>
      </c>
      <c r="F12" s="160" t="s">
        <v>2218</v>
      </c>
      <c r="G12" s="467">
        <v>42922</v>
      </c>
      <c r="H12" s="472">
        <v>1727866</v>
      </c>
      <c r="I12" s="469">
        <f>1468800+259200</f>
        <v>1728000</v>
      </c>
      <c r="J12" s="470">
        <f t="shared" si="1"/>
        <v>-134</v>
      </c>
    </row>
    <row r="13" spans="1:16">
      <c r="A13" s="160" t="s">
        <v>2219</v>
      </c>
      <c r="B13" s="467"/>
      <c r="C13" s="472">
        <v>205500</v>
      </c>
      <c r="D13" s="472">
        <v>205500</v>
      </c>
      <c r="E13" s="468">
        <f t="shared" si="0"/>
        <v>0</v>
      </c>
      <c r="F13" s="160" t="s">
        <v>2219</v>
      </c>
      <c r="G13" s="467">
        <v>43263</v>
      </c>
      <c r="H13" s="472">
        <v>205500</v>
      </c>
      <c r="I13" s="469">
        <v>205500</v>
      </c>
      <c r="J13" s="470">
        <f t="shared" si="1"/>
        <v>0</v>
      </c>
    </row>
    <row r="14" spans="1:16">
      <c r="A14" s="160" t="s">
        <v>2220</v>
      </c>
      <c r="B14" s="467">
        <v>43433</v>
      </c>
      <c r="C14" s="473">
        <v>9443500</v>
      </c>
      <c r="D14" s="473">
        <v>8026975</v>
      </c>
      <c r="E14" s="474">
        <f t="shared" si="0"/>
        <v>1416525</v>
      </c>
      <c r="F14" s="160" t="s">
        <v>2220</v>
      </c>
      <c r="G14" s="467">
        <v>43566</v>
      </c>
      <c r="H14" s="472">
        <v>9443500</v>
      </c>
      <c r="I14" s="475">
        <v>8026975</v>
      </c>
      <c r="J14" s="476">
        <f t="shared" si="1"/>
        <v>1416525</v>
      </c>
    </row>
    <row r="15" spans="1:16">
      <c r="A15" s="160" t="s">
        <v>2221</v>
      </c>
      <c r="B15" s="467">
        <v>43823</v>
      </c>
      <c r="C15" s="473">
        <v>3663000</v>
      </c>
      <c r="D15" s="473">
        <v>3113550</v>
      </c>
      <c r="E15" s="474">
        <f t="shared" si="0"/>
        <v>549450</v>
      </c>
      <c r="F15" s="160" t="s">
        <v>2221</v>
      </c>
      <c r="G15" s="467">
        <v>44082</v>
      </c>
      <c r="H15" s="472">
        <v>3663000</v>
      </c>
      <c r="I15" s="475">
        <v>3113550</v>
      </c>
      <c r="J15" s="476">
        <f t="shared" si="1"/>
        <v>549450</v>
      </c>
    </row>
    <row r="16" spans="1:16">
      <c r="A16" s="477" t="s">
        <v>2222</v>
      </c>
      <c r="B16" s="467"/>
      <c r="C16" s="473"/>
      <c r="D16" s="473"/>
      <c r="E16" s="474"/>
      <c r="F16" s="477" t="s">
        <v>2222</v>
      </c>
      <c r="G16" s="467"/>
      <c r="H16" s="472"/>
      <c r="I16" s="475"/>
      <c r="J16" s="476"/>
    </row>
    <row r="17" spans="1:11">
      <c r="A17" s="160" t="s">
        <v>2223</v>
      </c>
      <c r="B17" s="467">
        <v>43823</v>
      </c>
      <c r="C17" s="473">
        <v>5770000</v>
      </c>
      <c r="D17" s="475">
        <f>4327000+570000</f>
        <v>4897000</v>
      </c>
      <c r="E17" s="474">
        <f t="shared" si="0"/>
        <v>873000</v>
      </c>
      <c r="F17" s="160" t="s">
        <v>2223</v>
      </c>
      <c r="G17" s="467">
        <v>44082</v>
      </c>
      <c r="H17" s="472">
        <v>5770500</v>
      </c>
      <c r="I17" s="475">
        <f>4327000+570000</f>
        <v>4897000</v>
      </c>
      <c r="J17" s="476">
        <f t="shared" ref="J17:J21" si="2">+H17-I17</f>
        <v>873500</v>
      </c>
    </row>
    <row r="18" spans="1:11">
      <c r="A18" s="160" t="s">
        <v>2224</v>
      </c>
      <c r="B18" s="467">
        <v>43889</v>
      </c>
      <c r="C18" s="473">
        <v>9433000</v>
      </c>
      <c r="D18" s="473">
        <f>7074000+943000</f>
        <v>8017000</v>
      </c>
      <c r="E18" s="474">
        <f t="shared" si="0"/>
        <v>1416000</v>
      </c>
      <c r="F18" s="160" t="s">
        <v>2224</v>
      </c>
      <c r="G18" s="467">
        <v>44082</v>
      </c>
      <c r="H18" s="472">
        <v>9433500</v>
      </c>
      <c r="I18" s="475">
        <f>7074000+943000</f>
        <v>8017000</v>
      </c>
      <c r="J18" s="476">
        <f t="shared" si="2"/>
        <v>1416500</v>
      </c>
    </row>
    <row r="19" spans="1:11">
      <c r="A19" s="160" t="s">
        <v>2225</v>
      </c>
      <c r="B19" s="467">
        <v>44133</v>
      </c>
      <c r="C19" s="473">
        <v>9433000</v>
      </c>
      <c r="D19" s="473">
        <f>7074000+943000</f>
        <v>8017000</v>
      </c>
      <c r="E19" s="474">
        <f t="shared" si="0"/>
        <v>1416000</v>
      </c>
      <c r="F19" s="160" t="s">
        <v>2225</v>
      </c>
      <c r="G19" s="467">
        <v>44463</v>
      </c>
      <c r="H19" s="472">
        <v>9433000</v>
      </c>
      <c r="I19" s="475">
        <f>7074000+943000</f>
        <v>8017000</v>
      </c>
      <c r="J19" s="476">
        <f t="shared" si="2"/>
        <v>1416000</v>
      </c>
    </row>
    <row r="20" spans="1:11">
      <c r="A20" s="160" t="s">
        <v>2226</v>
      </c>
      <c r="B20" s="467">
        <v>44407</v>
      </c>
      <c r="C20" s="473">
        <v>9433000</v>
      </c>
      <c r="D20" s="473">
        <v>7074000</v>
      </c>
      <c r="E20" s="474">
        <f t="shared" si="0"/>
        <v>2359000</v>
      </c>
      <c r="F20" s="160" t="s">
        <v>2226</v>
      </c>
      <c r="G20" s="467">
        <v>44407</v>
      </c>
      <c r="H20" s="472">
        <v>9433000</v>
      </c>
      <c r="I20" s="475">
        <v>7074000</v>
      </c>
      <c r="J20" s="476">
        <f t="shared" si="2"/>
        <v>2359000</v>
      </c>
    </row>
    <row r="21" spans="1:11">
      <c r="A21" s="160" t="s">
        <v>2227</v>
      </c>
      <c r="B21" s="467">
        <v>44777</v>
      </c>
      <c r="C21" s="473">
        <v>9443500</v>
      </c>
      <c r="D21" s="473">
        <v>0</v>
      </c>
      <c r="E21" s="474">
        <f t="shared" si="0"/>
        <v>9443500</v>
      </c>
      <c r="F21" s="160" t="s">
        <v>2227</v>
      </c>
      <c r="G21" s="467">
        <v>44777</v>
      </c>
      <c r="H21" s="472">
        <v>9443500</v>
      </c>
      <c r="I21" s="475">
        <v>0</v>
      </c>
      <c r="J21" s="476">
        <f t="shared" si="2"/>
        <v>9443500</v>
      </c>
      <c r="K21" s="471"/>
    </row>
    <row r="22" spans="1:11">
      <c r="A22" s="160"/>
      <c r="C22" s="475"/>
      <c r="D22" s="475"/>
      <c r="E22" s="475"/>
      <c r="F22" s="478"/>
      <c r="G22" s="475"/>
      <c r="H22" s="475"/>
      <c r="I22" s="475"/>
      <c r="J22" s="476"/>
    </row>
    <row r="23" spans="1:11" ht="15" thickBot="1">
      <c r="A23" s="479" t="s">
        <v>2228</v>
      </c>
      <c r="B23" s="480"/>
      <c r="C23" s="481">
        <f>SUM(C5:C22)</f>
        <v>65859000</v>
      </c>
      <c r="D23" s="481">
        <f>SUM(D5:D22)</f>
        <v>48136925</v>
      </c>
      <c r="E23" s="481">
        <f>SUM(E5:E22)</f>
        <v>17722075</v>
      </c>
      <c r="F23" s="482"/>
      <c r="G23" s="481"/>
      <c r="H23" s="481">
        <f>SUM(H5:H22)</f>
        <v>65859866</v>
      </c>
      <c r="I23" s="481">
        <f>SUM(I5:I22)</f>
        <v>48136925</v>
      </c>
      <c r="J23" s="483">
        <f>SUM(J5:J22)</f>
        <v>17722941</v>
      </c>
      <c r="K23" s="471"/>
    </row>
    <row r="24" spans="1:11" ht="15" thickTop="1">
      <c r="A24" s="484" t="s">
        <v>2090</v>
      </c>
      <c r="C24" s="485">
        <f>+C23-H23</f>
        <v>-866</v>
      </c>
      <c r="D24" s="471">
        <f>+D23-I23</f>
        <v>0</v>
      </c>
      <c r="E24" s="485">
        <f>+E23-J23</f>
        <v>-866</v>
      </c>
      <c r="F24" s="486"/>
      <c r="G24" s="471"/>
      <c r="J24" s="149"/>
    </row>
    <row r="25" spans="1:11">
      <c r="A25" s="160"/>
      <c r="C25" s="471">
        <f>9433000-C20</f>
        <v>0</v>
      </c>
      <c r="D25" s="471"/>
      <c r="E25" s="471"/>
      <c r="F25" s="487"/>
      <c r="G25" s="471"/>
      <c r="J25" s="149"/>
    </row>
    <row r="26" spans="1:11">
      <c r="A26" s="477" t="s">
        <v>2229</v>
      </c>
      <c r="B26" s="488"/>
      <c r="F26" s="477" t="s">
        <v>2230</v>
      </c>
      <c r="G26" s="489"/>
      <c r="J26" s="149"/>
    </row>
    <row r="27" spans="1:11">
      <c r="A27" s="160" t="s">
        <v>2231</v>
      </c>
      <c r="C27" s="471"/>
      <c r="D27" s="471">
        <f>+C23</f>
        <v>65859000</v>
      </c>
      <c r="F27" s="160" t="s">
        <v>2232</v>
      </c>
      <c r="I27" s="471">
        <f>+H23</f>
        <v>65859866</v>
      </c>
      <c r="J27" s="490"/>
      <c r="K27" s="471"/>
    </row>
    <row r="28" spans="1:11">
      <c r="A28" s="160" t="s">
        <v>2233</v>
      </c>
      <c r="C28" s="471"/>
      <c r="D28" s="471">
        <f>+D23</f>
        <v>48136925</v>
      </c>
      <c r="F28" s="160" t="s">
        <v>2234</v>
      </c>
      <c r="I28" s="471">
        <f>+I23</f>
        <v>48136925</v>
      </c>
      <c r="J28" s="490"/>
    </row>
    <row r="29" spans="1:11" ht="15" thickBot="1">
      <c r="A29" s="479" t="s">
        <v>2235</v>
      </c>
      <c r="B29" s="480"/>
      <c r="C29" s="480"/>
      <c r="D29" s="491">
        <f>+D27-D28</f>
        <v>17722075</v>
      </c>
      <c r="E29" s="491"/>
      <c r="F29" s="479" t="s">
        <v>2235</v>
      </c>
      <c r="G29" s="480"/>
      <c r="H29" s="480"/>
      <c r="I29" s="491">
        <f>+I27-I28</f>
        <v>17722941</v>
      </c>
      <c r="J29" s="491"/>
    </row>
    <row r="30" spans="1:11" ht="15" thickTop="1">
      <c r="C30" s="151" t="s">
        <v>2236</v>
      </c>
      <c r="D30" s="492">
        <f>+D29-I29</f>
        <v>-866</v>
      </c>
      <c r="F30" s="160"/>
      <c r="J30" s="149"/>
      <c r="K30" s="160"/>
    </row>
    <row r="31" spans="1:11">
      <c r="A31" s="493"/>
      <c r="D31" s="494"/>
      <c r="E31" s="494"/>
      <c r="F31" s="493"/>
      <c r="I31" s="494"/>
      <c r="J31" s="149"/>
      <c r="K31" s="160"/>
    </row>
    <row r="32" spans="1:11">
      <c r="A32" s="495"/>
      <c r="B32" s="488"/>
      <c r="C32" s="489"/>
      <c r="D32" s="496"/>
      <c r="E32" s="488"/>
      <c r="F32" s="495"/>
      <c r="G32" s="488"/>
      <c r="H32" s="488"/>
      <c r="I32" s="497"/>
      <c r="J32" s="498"/>
      <c r="K32" s="160"/>
    </row>
    <row r="33" spans="1:9">
      <c r="A33" s="151" t="s">
        <v>2237</v>
      </c>
      <c r="B33" t="str">
        <f>+A12</f>
        <v>F. Y. 2015-16</v>
      </c>
      <c r="C33" s="471">
        <f>+C12</f>
        <v>1728000</v>
      </c>
      <c r="D33" s="471">
        <f>+H12</f>
        <v>1727866</v>
      </c>
      <c r="E33" s="471">
        <f>+C33-D33</f>
        <v>134</v>
      </c>
    </row>
    <row r="34" spans="1:9">
      <c r="B34" t="str">
        <f>+A17</f>
        <v>F. Y. 2017-18_GST</v>
      </c>
      <c r="C34" s="471">
        <f>+C17</f>
        <v>5770000</v>
      </c>
      <c r="D34" s="471">
        <f>+H17</f>
        <v>5770500</v>
      </c>
      <c r="E34" s="485">
        <f t="shared" ref="E34:E35" si="3">+C34-D34</f>
        <v>-500</v>
      </c>
      <c r="I34" s="471"/>
    </row>
    <row r="35" spans="1:9">
      <c r="B35" t="str">
        <f>+A18</f>
        <v>F. Y. 2018-19</v>
      </c>
      <c r="C35" s="471">
        <f>+C18</f>
        <v>9433000</v>
      </c>
      <c r="D35" s="471">
        <f>+H18</f>
        <v>9433500</v>
      </c>
      <c r="E35" s="485">
        <f t="shared" si="3"/>
        <v>-500</v>
      </c>
      <c r="F35" s="494"/>
      <c r="I35" s="471"/>
    </row>
    <row r="36" spans="1:9" ht="15" thickBot="1">
      <c r="E36" s="499">
        <f>SUM(E33:E35)</f>
        <v>-866</v>
      </c>
    </row>
    <row r="37" spans="1:9" ht="15" thickTop="1"/>
    <row r="38" spans="1:9">
      <c r="E38" s="485"/>
    </row>
    <row r="39" spans="1:9">
      <c r="E39" s="492"/>
    </row>
  </sheetData>
  <mergeCells count="4">
    <mergeCell ref="A1:J1"/>
    <mergeCell ref="A2:J2"/>
    <mergeCell ref="A3:E3"/>
    <mergeCell ref="F3:J3"/>
  </mergeCells>
  <pageMargins left="0.7" right="0.7" top="0.75" bottom="0.75" header="0.3" footer="0.3"/>
  <pageSetup paperSize="9" scale="75"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3:G11"/>
  <sheetViews>
    <sheetView workbookViewId="0">
      <selection activeCell="H46" sqref="H46"/>
    </sheetView>
  </sheetViews>
  <sheetFormatPr defaultRowHeight="14.4"/>
  <cols>
    <col min="2" max="2" width="35.5546875" customWidth="1"/>
    <col min="3" max="4" width="15.5546875" bestFit="1" customWidth="1"/>
    <col min="5" max="5" width="14.6640625" bestFit="1" customWidth="1"/>
    <col min="6" max="6" width="18.5546875" bestFit="1" customWidth="1"/>
  </cols>
  <sheetData>
    <row r="3" spans="2:7" ht="25.8">
      <c r="B3" s="2405" t="s">
        <v>2115</v>
      </c>
      <c r="C3" s="2405"/>
      <c r="D3" s="2405"/>
      <c r="E3" s="2405"/>
      <c r="F3" s="2405"/>
    </row>
    <row r="4" spans="2:7">
      <c r="B4" s="2279" t="s">
        <v>2191</v>
      </c>
      <c r="C4" s="2279"/>
      <c r="D4" s="2279"/>
      <c r="E4" s="2279"/>
      <c r="F4" s="2279"/>
    </row>
    <row r="5" spans="2:7" ht="15" thickBot="1"/>
    <row r="6" spans="2:7">
      <c r="B6" s="452" t="s">
        <v>2192</v>
      </c>
      <c r="C6" s="453" t="s">
        <v>2193</v>
      </c>
      <c r="D6" s="453" t="s">
        <v>2194</v>
      </c>
      <c r="E6" s="453" t="s">
        <v>2195</v>
      </c>
      <c r="F6" s="454" t="s">
        <v>2196</v>
      </c>
    </row>
    <row r="7" spans="2:7">
      <c r="B7" s="461" t="s">
        <v>164</v>
      </c>
      <c r="C7" s="456">
        <v>44771</v>
      </c>
      <c r="D7" s="462">
        <f>+GETPIVOTDATA("Sum of Dr. Final 22-23",Pivot!$A$3,"PARTICULARS","Drashta Power Consultants Pvt. Ltd.","Note",4,"BS Main Head","Other Non Current Assets","BS Sub Head","Advance For Capital Goods")</f>
        <v>18000</v>
      </c>
      <c r="E7" s="462"/>
      <c r="F7" s="463">
        <f t="shared" ref="F7:F10" si="0">E7-D7</f>
        <v>-18000</v>
      </c>
    </row>
    <row r="8" spans="2:7">
      <c r="B8" s="455" t="s">
        <v>23</v>
      </c>
      <c r="C8" s="456">
        <v>45010</v>
      </c>
      <c r="D8" s="462">
        <f>+GETPIVOTDATA("Sum of Dr. Final 22-23",Pivot!$A$3,"PARTICULARS","NAV DURGA BOILER &amp; EQUIPMENTS P. LTD.","Note",4,"BS Main Head","Other Non Current Assets","BS Sub Head","Advance For Capital Goods")</f>
        <v>5000</v>
      </c>
      <c r="E8" s="462"/>
      <c r="F8" s="463">
        <f t="shared" si="0"/>
        <v>-5000</v>
      </c>
    </row>
    <row r="9" spans="2:7">
      <c r="B9" s="455" t="s">
        <v>652</v>
      </c>
      <c r="C9" s="456">
        <v>44971</v>
      </c>
      <c r="D9" s="462">
        <f>+GETPIVOTDATA("Sum of Dr. Final 22-23",Pivot!$A$3,"PARTICULARS","Ultraaweather Engineering Services","Note",4,"BS Main Head","Other Non Current Assets","BS Sub Head","Advance For Capital Goods")</f>
        <v>204000</v>
      </c>
      <c r="E9" s="462"/>
      <c r="F9" s="463">
        <f t="shared" si="0"/>
        <v>-204000</v>
      </c>
      <c r="G9" t="s">
        <v>2197</v>
      </c>
    </row>
    <row r="10" spans="2:7">
      <c r="B10" s="455"/>
      <c r="C10" s="457"/>
      <c r="D10" s="462"/>
      <c r="E10" s="462"/>
      <c r="F10" s="463">
        <f t="shared" si="0"/>
        <v>0</v>
      </c>
    </row>
    <row r="11" spans="2:7" ht="15" thickBot="1">
      <c r="B11" s="458" t="s">
        <v>911</v>
      </c>
      <c r="C11" s="459"/>
      <c r="D11" s="459">
        <f>SUM(D7:D10)</f>
        <v>227000</v>
      </c>
      <c r="E11" s="459">
        <f>SUM(E7:E10)</f>
        <v>0</v>
      </c>
      <c r="F11" s="460">
        <f>SUM(F7:F10)</f>
        <v>-227000</v>
      </c>
    </row>
  </sheetData>
  <mergeCells count="2">
    <mergeCell ref="B3:F3"/>
    <mergeCell ref="B4:F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86"/>
  <sheetViews>
    <sheetView view="pageBreakPreview" topLeftCell="A65" zoomScale="80" zoomScaleNormal="100" zoomScaleSheetLayoutView="80" workbookViewId="0">
      <selection activeCell="A73" sqref="A73"/>
    </sheetView>
  </sheetViews>
  <sheetFormatPr defaultColWidth="9.109375" defaultRowHeight="15.6"/>
  <cols>
    <col min="1" max="1" width="108.88671875" style="803" customWidth="1"/>
    <col min="2" max="2" width="23.109375" style="804" customWidth="1"/>
    <col min="3" max="3" width="22.33203125" style="804" customWidth="1"/>
    <col min="4" max="4" width="11.88671875" hidden="1" customWidth="1"/>
    <col min="5" max="5" width="25.5546875" hidden="1" customWidth="1"/>
    <col min="6" max="8" width="11.88671875" hidden="1" customWidth="1"/>
    <col min="9" max="9" width="15.44140625" hidden="1" customWidth="1"/>
    <col min="10" max="10" width="14.6640625" hidden="1" customWidth="1"/>
    <col min="11" max="11" width="9.109375" hidden="1" customWidth="1"/>
    <col min="12" max="12" width="14.88671875" style="782" hidden="1" customWidth="1"/>
    <col min="13" max="14" width="9.109375" style="782" hidden="1" customWidth="1"/>
    <col min="15" max="15" width="41.33203125" style="783" hidden="1" customWidth="1"/>
    <col min="16" max="16" width="17.109375" style="783" hidden="1" customWidth="1"/>
    <col min="17" max="17" width="9.44140625" style="783" hidden="1" customWidth="1"/>
    <col min="18" max="19" width="16.33203125" style="783" hidden="1" customWidth="1"/>
    <col min="20" max="20" width="17" style="782" hidden="1" customWidth="1"/>
    <col min="21" max="47" width="9.109375" style="782" hidden="1" customWidth="1"/>
    <col min="49" max="49" width="12.5546875" style="784" bestFit="1" customWidth="1"/>
    <col min="50" max="50" width="31.5546875" style="784" bestFit="1" customWidth="1"/>
    <col min="51" max="51" width="17.33203125" style="784" bestFit="1" customWidth="1"/>
    <col min="52" max="52" width="17.6640625" style="784" bestFit="1" customWidth="1"/>
    <col min="53" max="53" width="9.109375" style="784"/>
    <col min="54" max="54" width="17.109375" style="784" bestFit="1" customWidth="1"/>
    <col min="55" max="55" width="18.44140625" style="784" bestFit="1" customWidth="1"/>
    <col min="56" max="56" width="20.44140625" style="784" bestFit="1" customWidth="1"/>
    <col min="57" max="82" width="9.109375" style="784"/>
  </cols>
  <sheetData>
    <row r="1" spans="1:56" ht="16.2" thickBot="1"/>
    <row r="2" spans="1:56">
      <c r="A2" s="2088" t="s">
        <v>785</v>
      </c>
      <c r="B2" s="2089"/>
      <c r="C2" s="2090"/>
    </row>
    <row r="3" spans="1:56">
      <c r="A3" s="2091" t="s">
        <v>2638</v>
      </c>
      <c r="B3" s="2092"/>
      <c r="C3" s="2093"/>
    </row>
    <row r="4" spans="1:56">
      <c r="A4" s="1190" t="s">
        <v>2461</v>
      </c>
      <c r="B4" s="785" t="s">
        <v>2536</v>
      </c>
      <c r="C4" s="1209" t="s">
        <v>2462</v>
      </c>
    </row>
    <row r="5" spans="1:56">
      <c r="A5" s="1198"/>
      <c r="B5" s="786"/>
      <c r="C5" s="1210"/>
    </row>
    <row r="6" spans="1:56">
      <c r="A6" s="1193" t="s">
        <v>2463</v>
      </c>
      <c r="B6" s="787"/>
      <c r="C6" s="1210"/>
    </row>
    <row r="7" spans="1:56">
      <c r="A7" s="1190" t="s">
        <v>2464</v>
      </c>
      <c r="B7" s="788">
        <f>+BSPL!G92</f>
        <v>-49775047.946512461</v>
      </c>
      <c r="C7" s="1211">
        <f>+BSPL!H92</f>
        <v>3085726.7607851028</v>
      </c>
      <c r="N7" s="789"/>
    </row>
    <row r="8" spans="1:56">
      <c r="A8" s="1198" t="s">
        <v>2465</v>
      </c>
      <c r="B8" s="790"/>
      <c r="C8" s="1212"/>
    </row>
    <row r="9" spans="1:56">
      <c r="A9" s="1198" t="s">
        <v>2466</v>
      </c>
      <c r="B9" s="790">
        <f>BSPL!G106</f>
        <v>453421</v>
      </c>
      <c r="C9" s="1213">
        <f>+BSPL!H106</f>
        <v>1104075</v>
      </c>
    </row>
    <row r="10" spans="1:56">
      <c r="A10" s="1198" t="s">
        <v>2467</v>
      </c>
      <c r="B10" s="790">
        <f>+BSPL!G86</f>
        <v>18081667</v>
      </c>
      <c r="C10" s="1213">
        <f>+BSPL!H86</f>
        <v>17957748.491325565</v>
      </c>
    </row>
    <row r="11" spans="1:56">
      <c r="A11" s="1198" t="s">
        <v>850</v>
      </c>
      <c r="B11" s="790">
        <f>+BSPL!G85</f>
        <v>8587641</v>
      </c>
      <c r="C11" s="1213">
        <f>+BSPL!H85</f>
        <v>7602953.1500000004</v>
      </c>
    </row>
    <row r="12" spans="1:56">
      <c r="A12" s="1198" t="s">
        <v>841</v>
      </c>
      <c r="B12" s="790"/>
      <c r="C12" s="1212"/>
    </row>
    <row r="13" spans="1:56">
      <c r="A13" s="1190" t="s">
        <v>2469</v>
      </c>
      <c r="B13" s="788">
        <f>SUM(B7:B12)</f>
        <v>-22652318.946512461</v>
      </c>
      <c r="C13" s="1214">
        <f>SUM(C7:C12)</f>
        <v>29750503.402110666</v>
      </c>
    </row>
    <row r="14" spans="1:56">
      <c r="A14" s="1193"/>
      <c r="B14" s="787"/>
      <c r="C14" s="1215"/>
      <c r="O14" s="791" t="s">
        <v>2470</v>
      </c>
      <c r="P14" s="783">
        <v>0</v>
      </c>
      <c r="Q14" s="783">
        <v>0</v>
      </c>
      <c r="R14" s="783">
        <v>12325000</v>
      </c>
      <c r="S14" s="783">
        <v>0</v>
      </c>
      <c r="T14" s="792">
        <f>+P14-R14</f>
        <v>-12325000</v>
      </c>
    </row>
    <row r="15" spans="1:56">
      <c r="A15" s="1193" t="s">
        <v>2471</v>
      </c>
      <c r="B15" s="787"/>
      <c r="C15" s="1212"/>
      <c r="O15" s="791" t="s">
        <v>2472</v>
      </c>
      <c r="P15" s="783">
        <v>3800000</v>
      </c>
      <c r="Q15" s="783">
        <v>0</v>
      </c>
      <c r="R15" s="783">
        <v>0</v>
      </c>
      <c r="S15" s="783">
        <v>0</v>
      </c>
      <c r="T15" s="792">
        <f t="shared" ref="T15:T25" si="0">+P15-R15</f>
        <v>3800000</v>
      </c>
      <c r="AX15" s="793" t="s">
        <v>2473</v>
      </c>
      <c r="AY15" s="793" t="s">
        <v>2474</v>
      </c>
      <c r="AZ15" s="793" t="s">
        <v>2475</v>
      </c>
      <c r="BA15" s="793" t="s">
        <v>2476</v>
      </c>
      <c r="BB15" s="793" t="s">
        <v>2477</v>
      </c>
      <c r="BC15" s="793" t="s">
        <v>2478</v>
      </c>
      <c r="BD15" s="793" t="s">
        <v>2479</v>
      </c>
    </row>
    <row r="16" spans="1:56">
      <c r="A16" s="1198" t="s">
        <v>2480</v>
      </c>
      <c r="B16" s="790">
        <f>+BSPL!H15-BSPL!G15</f>
        <v>-11069413.8336384</v>
      </c>
      <c r="C16" s="1212">
        <v>15920527.49788934</v>
      </c>
      <c r="E16" s="136" t="s">
        <v>798</v>
      </c>
      <c r="F16">
        <f>+[72]BSPL!G15</f>
        <v>51184927.105289809</v>
      </c>
      <c r="G16">
        <v>42797875.565622441</v>
      </c>
      <c r="H16">
        <f>+G16-F16</f>
        <v>-8387051.5396673679</v>
      </c>
      <c r="I16">
        <v>-8387051.5396673679</v>
      </c>
      <c r="J16">
        <f>+H16-I16</f>
        <v>0</v>
      </c>
      <c r="O16" s="791" t="s">
        <v>326</v>
      </c>
      <c r="P16" s="783">
        <v>34285</v>
      </c>
      <c r="Q16" s="783">
        <v>0</v>
      </c>
      <c r="R16" s="783">
        <v>34285</v>
      </c>
      <c r="S16" s="783">
        <v>0</v>
      </c>
      <c r="T16" s="792">
        <f t="shared" si="0"/>
        <v>0</v>
      </c>
      <c r="AX16" s="793" t="s">
        <v>798</v>
      </c>
      <c r="AY16" s="793">
        <f>+[73]BSPL!F15</f>
        <v>67513794.217889339</v>
      </c>
      <c r="AZ16" s="793">
        <f>+[73]BSPL!G15</f>
        <v>67823511.890000001</v>
      </c>
      <c r="BA16" s="793"/>
      <c r="BB16" s="793">
        <f>+AZ16</f>
        <v>67823511.890000001</v>
      </c>
      <c r="BC16" s="793">
        <v>51184927.105289809</v>
      </c>
      <c r="BD16" s="793"/>
    </row>
    <row r="17" spans="1:82">
      <c r="A17" s="1198" t="s">
        <v>2481</v>
      </c>
      <c r="B17" s="790">
        <f>+BSPL!H17-BSPL!G17</f>
        <v>50752504.290000007</v>
      </c>
      <c r="C17" s="1212">
        <v>-10794697</v>
      </c>
      <c r="E17" s="136" t="s">
        <v>16</v>
      </c>
      <c r="F17">
        <f>+[72]BSPL!G17</f>
        <v>89957465.5</v>
      </c>
      <c r="G17">
        <v>100458396.86999999</v>
      </c>
      <c r="H17">
        <f>+G17-F17</f>
        <v>10500931.36999999</v>
      </c>
      <c r="I17">
        <v>10500931.36999999</v>
      </c>
      <c r="J17">
        <f t="shared" ref="J17:J27" si="1">+H17-I17</f>
        <v>0</v>
      </c>
      <c r="O17" s="791" t="s">
        <v>329</v>
      </c>
      <c r="P17" s="783">
        <v>122153</v>
      </c>
      <c r="Q17" s="783">
        <v>0</v>
      </c>
      <c r="R17" s="783">
        <v>122153</v>
      </c>
      <c r="S17" s="783">
        <v>0</v>
      </c>
      <c r="T17" s="792">
        <f t="shared" si="0"/>
        <v>0</v>
      </c>
      <c r="AX17" s="793" t="s">
        <v>16</v>
      </c>
      <c r="AY17" s="793" t="e">
        <f>+[73]BSPL!F16</f>
        <v>#REF!</v>
      </c>
      <c r="AZ17" s="793">
        <f>+[73]BSPL!G17</f>
        <v>94854388</v>
      </c>
      <c r="BA17" s="793"/>
      <c r="BB17" s="793">
        <f t="shared" ref="BB17:BB25" si="2">+AZ17</f>
        <v>94854388</v>
      </c>
      <c r="BC17" s="793">
        <v>89957465.5</v>
      </c>
      <c r="BD17" s="793"/>
    </row>
    <row r="18" spans="1:82">
      <c r="A18" s="1198" t="s">
        <v>2482</v>
      </c>
      <c r="B18" s="790">
        <f>+BSPL!H19-BSPL!G19</f>
        <v>935500</v>
      </c>
      <c r="C18" s="1212">
        <v>-1081500.3999999999</v>
      </c>
      <c r="E18" t="s">
        <v>37</v>
      </c>
      <c r="F18">
        <f>+[72]BSPL!G20</f>
        <v>5769158.1199999992</v>
      </c>
      <c r="G18">
        <v>3466500.52</v>
      </c>
      <c r="H18">
        <f>+G18-F18</f>
        <v>-2302657.5999999992</v>
      </c>
      <c r="I18">
        <v>257785</v>
      </c>
      <c r="J18">
        <f t="shared" si="1"/>
        <v>-2560442.5999999992</v>
      </c>
      <c r="O18" s="791" t="s">
        <v>331</v>
      </c>
      <c r="P18" s="783">
        <v>139678</v>
      </c>
      <c r="Q18" s="783">
        <v>0</v>
      </c>
      <c r="R18" s="783">
        <v>139678</v>
      </c>
      <c r="S18" s="783">
        <v>0</v>
      </c>
      <c r="T18" s="792">
        <f t="shared" si="0"/>
        <v>0</v>
      </c>
      <c r="AX18" s="793" t="s">
        <v>37</v>
      </c>
      <c r="AY18" s="793">
        <f>+[73]BSPL!F17</f>
        <v>155760049.43000001</v>
      </c>
      <c r="AZ18" s="793">
        <f>+[73]BSPL!G20</f>
        <v>8543299.9600000009</v>
      </c>
      <c r="BA18" s="793"/>
      <c r="BB18" s="793">
        <f t="shared" si="2"/>
        <v>8543299.9600000009</v>
      </c>
      <c r="BC18" s="793">
        <v>5769158.1199999992</v>
      </c>
      <c r="BD18" s="793"/>
    </row>
    <row r="19" spans="1:82">
      <c r="A19" s="1198" t="s">
        <v>2483</v>
      </c>
      <c r="B19" s="790">
        <f>+BSPL!H20-BSPL!G20</f>
        <v>-3781446.9800000004</v>
      </c>
      <c r="C19" s="1212">
        <v>-2096241.9999999995</v>
      </c>
      <c r="E19" s="136" t="s">
        <v>34</v>
      </c>
      <c r="F19">
        <f>+[72]BSPL!G291</f>
        <v>7276608.1800000006</v>
      </c>
      <c r="G19">
        <v>8397289.7899999991</v>
      </c>
      <c r="H19">
        <f>+G19-F19</f>
        <v>1120681.6099999985</v>
      </c>
      <c r="I19">
        <v>-6669728.5899999999</v>
      </c>
      <c r="J19">
        <f t="shared" si="1"/>
        <v>7790410.1999999983</v>
      </c>
      <c r="O19" s="791" t="s">
        <v>332</v>
      </c>
      <c r="P19" s="783">
        <v>271788</v>
      </c>
      <c r="Q19" s="783">
        <v>0</v>
      </c>
      <c r="R19" s="783">
        <v>271788</v>
      </c>
      <c r="S19" s="783">
        <v>0</v>
      </c>
      <c r="T19" s="792">
        <f t="shared" si="0"/>
        <v>0</v>
      </c>
      <c r="AX19" s="793" t="s">
        <v>34</v>
      </c>
      <c r="AY19" s="793">
        <f>+[73]BSPL!F18</f>
        <v>333868.40000000002</v>
      </c>
      <c r="AZ19" s="793">
        <f>+[73]BSPL!G21</f>
        <v>5106736.3549999995</v>
      </c>
      <c r="BA19" s="793"/>
      <c r="BB19" s="793">
        <f t="shared" si="2"/>
        <v>5106736.3549999995</v>
      </c>
      <c r="BC19" s="793">
        <v>7276608.1800000006</v>
      </c>
      <c r="BD19" s="793"/>
    </row>
    <row r="20" spans="1:82">
      <c r="A20" s="1198" t="s">
        <v>2484</v>
      </c>
      <c r="B20" s="790">
        <v>0</v>
      </c>
      <c r="C20" s="1212">
        <v>0</v>
      </c>
      <c r="E20" s="136" t="s">
        <v>2485</v>
      </c>
      <c r="F20">
        <f>+[72]BSPL!G19</f>
        <v>192300</v>
      </c>
      <c r="G20">
        <v>192929</v>
      </c>
      <c r="H20">
        <f>+G20-F20</f>
        <v>629</v>
      </c>
      <c r="I20">
        <v>628.5</v>
      </c>
      <c r="J20">
        <f t="shared" si="1"/>
        <v>0.5</v>
      </c>
      <c r="O20" s="791" t="s">
        <v>2486</v>
      </c>
      <c r="P20" s="794">
        <v>0</v>
      </c>
      <c r="Q20" s="794">
        <v>0</v>
      </c>
      <c r="R20" s="794">
        <v>0</v>
      </c>
      <c r="S20" s="794">
        <v>0</v>
      </c>
      <c r="T20" s="792">
        <f t="shared" si="0"/>
        <v>0</v>
      </c>
      <c r="AX20" s="793" t="s">
        <v>2485</v>
      </c>
      <c r="AY20" s="793">
        <f>+[73]BSPL!F19</f>
        <v>0</v>
      </c>
      <c r="AZ20" s="793">
        <f>+[73]BSPL!G19</f>
        <v>83453.5</v>
      </c>
      <c r="BA20" s="793"/>
      <c r="BB20" s="793">
        <f t="shared" si="2"/>
        <v>83453.5</v>
      </c>
      <c r="BC20" s="793">
        <v>192300</v>
      </c>
      <c r="BD20" s="793"/>
    </row>
    <row r="21" spans="1:82">
      <c r="A21" s="1198" t="s">
        <v>2487</v>
      </c>
      <c r="B21" s="790">
        <f>+BSPL!G40-BSPL!H40</f>
        <v>4241443.1501510143</v>
      </c>
      <c r="C21" s="1212">
        <v>7728779.0799999982</v>
      </c>
      <c r="E21" t="s">
        <v>2488</v>
      </c>
      <c r="F21">
        <f>+[72]BSPL!G41</f>
        <v>49656875.130000003</v>
      </c>
      <c r="G21">
        <v>64903509.759999998</v>
      </c>
      <c r="H21">
        <f t="shared" ref="H21:H25" si="3">+F21-G21</f>
        <v>-15246634.629999995</v>
      </c>
      <c r="I21">
        <v>-15466601.429999992</v>
      </c>
      <c r="J21">
        <f t="shared" si="1"/>
        <v>219966.79999999702</v>
      </c>
      <c r="O21" s="791" t="s">
        <v>2489</v>
      </c>
      <c r="P21" s="783">
        <v>0</v>
      </c>
      <c r="Q21" s="783">
        <v>0</v>
      </c>
      <c r="R21" s="783">
        <v>19841</v>
      </c>
      <c r="S21" s="783">
        <v>0</v>
      </c>
      <c r="T21" s="792">
        <f t="shared" si="0"/>
        <v>-19841</v>
      </c>
      <c r="AX21" s="793" t="s">
        <v>2488</v>
      </c>
      <c r="AY21" s="793">
        <f>+[73]BSPL!F20</f>
        <v>7281000</v>
      </c>
      <c r="AZ21" s="793">
        <f>+[73]BSPL!G41</f>
        <v>59045466.559999995</v>
      </c>
      <c r="BA21" s="793"/>
      <c r="BB21" s="793">
        <f t="shared" si="2"/>
        <v>59045466.559999995</v>
      </c>
      <c r="BC21" s="793">
        <v>49656875.130000003</v>
      </c>
      <c r="BD21" s="793"/>
    </row>
    <row r="22" spans="1:82">
      <c r="A22" s="1198" t="s">
        <v>2490</v>
      </c>
      <c r="B22" s="790">
        <f>+BSPL!G34-BSPL!H34</f>
        <v>-136086</v>
      </c>
      <c r="C22" s="1212">
        <v>-568550</v>
      </c>
      <c r="E22" t="s">
        <v>2491</v>
      </c>
      <c r="F22">
        <f>+[72]BSPL!G357</f>
        <v>1662107</v>
      </c>
      <c r="G22">
        <v>1812727</v>
      </c>
      <c r="H22">
        <f t="shared" si="3"/>
        <v>-150620</v>
      </c>
      <c r="J22">
        <f t="shared" si="1"/>
        <v>-150620</v>
      </c>
      <c r="O22" s="791" t="s">
        <v>2492</v>
      </c>
      <c r="P22" s="783">
        <v>15292</v>
      </c>
      <c r="Q22" s="783">
        <v>0</v>
      </c>
      <c r="R22" s="783">
        <v>0</v>
      </c>
      <c r="S22" s="783">
        <v>0</v>
      </c>
      <c r="T22" s="792">
        <f t="shared" si="0"/>
        <v>15292</v>
      </c>
      <c r="AX22" s="793" t="s">
        <v>2491</v>
      </c>
      <c r="AY22" s="793">
        <f>+[73]BSPL!F21</f>
        <v>4209495.0199999996</v>
      </c>
      <c r="AZ22" s="793">
        <f>+[73]BSPL!G353</f>
        <v>2183354.7000000002</v>
      </c>
      <c r="BA22" s="793"/>
      <c r="BB22" s="793">
        <f t="shared" si="2"/>
        <v>2183354.7000000002</v>
      </c>
      <c r="BC22" s="793">
        <v>1662107</v>
      </c>
      <c r="BD22" s="793"/>
    </row>
    <row r="23" spans="1:82">
      <c r="A23" s="1198" t="s">
        <v>2493</v>
      </c>
      <c r="B23" s="790">
        <f>+BSPL!G456-BSPL!H456</f>
        <v>-64788</v>
      </c>
      <c r="C23" s="1212">
        <v>-93963</v>
      </c>
      <c r="E23" s="136" t="s">
        <v>2494</v>
      </c>
      <c r="F23" s="136">
        <f>+[72]BSPL!G404+[72]BSPL!G406</f>
        <v>983176</v>
      </c>
      <c r="G23">
        <f>192300+830966</f>
        <v>1023266</v>
      </c>
      <c r="H23">
        <f t="shared" si="3"/>
        <v>-40090</v>
      </c>
      <c r="I23">
        <v>-40090</v>
      </c>
      <c r="J23">
        <f t="shared" si="1"/>
        <v>0</v>
      </c>
      <c r="O23" s="791" t="s">
        <v>2495</v>
      </c>
      <c r="P23" s="794">
        <v>0</v>
      </c>
      <c r="Q23" s="794">
        <v>0</v>
      </c>
      <c r="R23" s="794">
        <v>4717</v>
      </c>
      <c r="S23" s="794">
        <v>0</v>
      </c>
      <c r="T23" s="792">
        <f t="shared" si="0"/>
        <v>-4717</v>
      </c>
      <c r="AX23" s="793" t="s">
        <v>2494</v>
      </c>
      <c r="AY23" s="793">
        <f>+[73]BSPL!F22</f>
        <v>673307</v>
      </c>
      <c r="AZ23" s="793">
        <f>+[73]BSPL!G42</f>
        <v>8240996.9399999995</v>
      </c>
      <c r="BA23" s="793"/>
      <c r="BB23" s="793">
        <f t="shared" si="2"/>
        <v>8240996.9399999995</v>
      </c>
      <c r="BC23" s="793">
        <v>20599587</v>
      </c>
      <c r="BD23" s="793"/>
    </row>
    <row r="24" spans="1:82">
      <c r="A24" s="1198" t="s">
        <v>2496</v>
      </c>
      <c r="B24" s="790">
        <f>+BSPL!G42-BSPL!H42</f>
        <v>-4255838.1400000006</v>
      </c>
      <c r="C24" s="1212">
        <v>-117461.31000000145</v>
      </c>
      <c r="E24" s="136" t="s">
        <v>57</v>
      </c>
      <c r="F24">
        <f>+[72]BSPL!G43</f>
        <v>539205.43999999994</v>
      </c>
      <c r="G24">
        <v>652090.0400000005</v>
      </c>
      <c r="H24">
        <f t="shared" si="3"/>
        <v>-112884.60000000056</v>
      </c>
      <c r="I24">
        <v>4972825.7999999989</v>
      </c>
      <c r="J24">
        <f t="shared" si="1"/>
        <v>-5085710.3999999994</v>
      </c>
      <c r="O24" s="791" t="s">
        <v>328</v>
      </c>
      <c r="P24" s="783">
        <v>17190</v>
      </c>
      <c r="Q24" s="783">
        <v>0</v>
      </c>
      <c r="R24" s="783">
        <v>0</v>
      </c>
      <c r="S24" s="783">
        <v>0</v>
      </c>
      <c r="T24" s="792">
        <f t="shared" si="0"/>
        <v>17190</v>
      </c>
      <c r="AX24" s="793" t="s">
        <v>57</v>
      </c>
      <c r="AY24" s="793">
        <f>+[73]BSPL!F23</f>
        <v>235771514.06788936</v>
      </c>
      <c r="AZ24" s="793">
        <f>+[73]BSPL!G43</f>
        <v>537842.43999999994</v>
      </c>
      <c r="BA24" s="793"/>
      <c r="BB24" s="793">
        <f t="shared" si="2"/>
        <v>537842.43999999994</v>
      </c>
      <c r="BC24" s="793">
        <v>539205.43999999994</v>
      </c>
      <c r="BD24" s="793"/>
    </row>
    <row r="25" spans="1:82">
      <c r="A25" s="1198" t="s">
        <v>2497</v>
      </c>
      <c r="B25" s="790">
        <f>+BSPL!G464-BSPL!H464+BSPL!G465-BSPL!H465</f>
        <v>-1400961</v>
      </c>
      <c r="C25" s="1212">
        <v>-145701.49500000011</v>
      </c>
      <c r="E25" t="s">
        <v>2498</v>
      </c>
      <c r="F25">
        <f>+[72]BSPL!G413+[72]BSPL!G414</f>
        <v>3054029</v>
      </c>
      <c r="G25">
        <v>2118784</v>
      </c>
      <c r="H25">
        <f t="shared" si="3"/>
        <v>935245</v>
      </c>
      <c r="I25">
        <v>796877.99999999907</v>
      </c>
      <c r="J25">
        <f t="shared" si="1"/>
        <v>138367.00000000093</v>
      </c>
      <c r="O25" s="791" t="s">
        <v>2499</v>
      </c>
      <c r="P25" s="783">
        <v>44002</v>
      </c>
      <c r="Q25" s="783">
        <v>0</v>
      </c>
      <c r="R25" s="783">
        <v>0</v>
      </c>
      <c r="S25" s="783">
        <v>0</v>
      </c>
      <c r="T25" s="792">
        <f t="shared" si="0"/>
        <v>44002</v>
      </c>
      <c r="AX25" s="793" t="s">
        <v>2498</v>
      </c>
      <c r="AY25" s="793" t="e">
        <f>+[73]BSPL!F24</f>
        <v>#REF!</v>
      </c>
      <c r="AZ25" s="793">
        <f>+[73]BSPL!G413+[73]BSPL!G414</f>
        <v>3125149</v>
      </c>
      <c r="BA25" s="793"/>
      <c r="BB25" s="793">
        <f t="shared" si="2"/>
        <v>3125149</v>
      </c>
      <c r="BC25" s="793">
        <f>1450129+1603900</f>
        <v>3054029</v>
      </c>
      <c r="BD25" s="793"/>
    </row>
    <row r="26" spans="1:82">
      <c r="A26" s="1198" t="s">
        <v>2500</v>
      </c>
      <c r="B26" s="790">
        <f>+BSPL!H11-BSPL!G11</f>
        <v>-1086147.3900000001</v>
      </c>
      <c r="C26" s="1212">
        <v>-398174.60999999987</v>
      </c>
      <c r="E26" s="136" t="s">
        <v>2501</v>
      </c>
      <c r="F26">
        <f>+[72]BSPL!G11</f>
        <v>2870555</v>
      </c>
      <c r="G26">
        <v>2878939.95</v>
      </c>
      <c r="H26">
        <f>+G26-F26</f>
        <v>8384.9500000001863</v>
      </c>
      <c r="I26">
        <v>8384.9500000001863</v>
      </c>
      <c r="J26">
        <f t="shared" si="1"/>
        <v>0</v>
      </c>
      <c r="AX26" s="793" t="s">
        <v>2501</v>
      </c>
      <c r="AY26" s="793" t="e">
        <f>+[73]BSPL!F25</f>
        <v>#REF!</v>
      </c>
      <c r="AZ26" s="793">
        <f>+[73]BSPL!G21</f>
        <v>5106736.3549999995</v>
      </c>
      <c r="BA26" s="793"/>
      <c r="BB26" s="793">
        <f>+AZ26</f>
        <v>5106736.3549999995</v>
      </c>
      <c r="BC26" s="793">
        <v>2870555</v>
      </c>
      <c r="BD26" s="793"/>
    </row>
    <row r="27" spans="1:82">
      <c r="A27" s="1198" t="s">
        <v>2502</v>
      </c>
      <c r="B27" s="790">
        <f>+BSPL!H232-BSPL!G232+BSPL!H233-BSPL!G233</f>
        <v>-6343554</v>
      </c>
      <c r="C27" s="1212">
        <v>-546900</v>
      </c>
      <c r="E27" s="136" t="s">
        <v>2503</v>
      </c>
      <c r="F27">
        <f>+[72]BSPL!G242+[72]BSPL!G243</f>
        <v>4153020.3599999994</v>
      </c>
      <c r="G27">
        <v>3980523.36</v>
      </c>
      <c r="H27">
        <f>+G27-F27</f>
        <v>-172496.99999999953</v>
      </c>
      <c r="I27">
        <v>-52616.999999999534</v>
      </c>
      <c r="J27">
        <f t="shared" si="1"/>
        <v>-119880</v>
      </c>
      <c r="O27" s="783" t="s">
        <v>2504</v>
      </c>
      <c r="P27" s="783">
        <f>+[72]BSPL!F99</f>
        <v>4514807.180287933</v>
      </c>
      <c r="R27" s="783">
        <f>+[72]BSPL!G99</f>
        <v>16160409.421267949</v>
      </c>
      <c r="AX27" s="793" t="s">
        <v>2503</v>
      </c>
      <c r="AY27" s="793"/>
      <c r="AZ27" s="793">
        <f t="shared" ref="AZ27" si="4">+BB27</f>
        <v>0</v>
      </c>
      <c r="BA27" s="793"/>
      <c r="BB27" s="793"/>
      <c r="BC27" s="793">
        <f>1353400+2799620.36</f>
        <v>4153020.36</v>
      </c>
      <c r="BD27" s="793"/>
    </row>
    <row r="28" spans="1:82">
      <c r="A28" s="1198"/>
      <c r="B28" s="790"/>
      <c r="C28" s="1212"/>
    </row>
    <row r="29" spans="1:82">
      <c r="A29" s="1190" t="s">
        <v>2505</v>
      </c>
      <c r="B29" s="788">
        <f>SUM(B15:B28)</f>
        <v>27791212.096512616</v>
      </c>
      <c r="C29" s="1214">
        <f>SUM(C15:C28)</f>
        <v>7806116.7628893368</v>
      </c>
      <c r="P29" s="783">
        <f>-P27+(SUM(P14:P25)-SUM(R14:R25))</f>
        <v>-12987881.180287933</v>
      </c>
    </row>
    <row r="30" spans="1:82">
      <c r="A30" s="1190" t="s">
        <v>2506</v>
      </c>
      <c r="B30" s="788">
        <f>+B29+B13</f>
        <v>5138893.150000155</v>
      </c>
      <c r="C30" s="1214">
        <f>+C29+C13</f>
        <v>37556620.165000007</v>
      </c>
    </row>
    <row r="31" spans="1:82" s="795" customFormat="1">
      <c r="A31" s="1193" t="s">
        <v>2507</v>
      </c>
      <c r="B31" s="787">
        <f>+BSPL!G94+(BSPL!H21-BSPL!G21)</f>
        <v>-1227442.5463122041</v>
      </c>
      <c r="C31" s="1212">
        <v>-4234079.8</v>
      </c>
      <c r="L31" s="796">
        <f>-6175062+6150116</f>
        <v>-24946</v>
      </c>
      <c r="M31" s="796"/>
      <c r="N31" s="796"/>
      <c r="O31" s="797" t="s">
        <v>2508</v>
      </c>
      <c r="P31" s="797">
        <f>+P15+P25+P22</f>
        <v>3859294</v>
      </c>
      <c r="Q31" s="797"/>
      <c r="R31" s="797">
        <f>+R14+R21</f>
        <v>12344841</v>
      </c>
      <c r="S31" s="797">
        <f>+R31-P31</f>
        <v>8485547</v>
      </c>
      <c r="T31" s="796"/>
      <c r="U31" s="796"/>
      <c r="V31" s="796"/>
      <c r="W31" s="796"/>
      <c r="X31" s="796"/>
      <c r="Y31" s="796"/>
      <c r="Z31" s="796"/>
      <c r="AA31" s="796"/>
      <c r="AB31" s="796"/>
      <c r="AC31" s="796"/>
      <c r="AD31" s="796"/>
      <c r="AE31" s="796"/>
      <c r="AF31" s="796"/>
      <c r="AG31" s="796"/>
      <c r="AH31" s="796"/>
      <c r="AI31" s="796"/>
      <c r="AJ31" s="796"/>
      <c r="AK31" s="796"/>
      <c r="AL31" s="796"/>
      <c r="AM31" s="796"/>
      <c r="AN31" s="796"/>
      <c r="AO31" s="796"/>
      <c r="AP31" s="796"/>
      <c r="AQ31" s="796"/>
      <c r="AR31" s="796"/>
      <c r="AS31" s="796"/>
      <c r="AT31" s="796"/>
      <c r="AU31" s="796"/>
      <c r="AV31" s="798"/>
      <c r="AW31" s="799"/>
      <c r="AX31" s="799" t="s">
        <v>2537</v>
      </c>
      <c r="AY31" s="799"/>
      <c r="AZ31" s="799"/>
      <c r="BA31" s="799"/>
      <c r="BB31" s="799"/>
      <c r="BC31" s="799"/>
      <c r="BD31" s="799"/>
      <c r="BE31" s="799"/>
      <c r="BF31" s="799"/>
      <c r="BG31" s="799"/>
      <c r="BH31" s="799"/>
      <c r="BI31" s="799"/>
      <c r="BJ31" s="799"/>
      <c r="BK31" s="799"/>
      <c r="BL31" s="799"/>
      <c r="BM31" s="799"/>
      <c r="BN31" s="799"/>
      <c r="BO31" s="799"/>
      <c r="BP31" s="799"/>
      <c r="BQ31" s="799"/>
      <c r="BR31" s="799"/>
      <c r="BS31" s="799"/>
      <c r="BT31" s="799"/>
      <c r="BU31" s="799"/>
      <c r="BV31" s="799"/>
      <c r="BW31" s="799"/>
      <c r="BX31" s="799"/>
      <c r="BY31" s="799"/>
      <c r="BZ31" s="799"/>
      <c r="CA31" s="799"/>
      <c r="CB31" s="799"/>
      <c r="CC31" s="799"/>
      <c r="CD31" s="799"/>
    </row>
    <row r="32" spans="1:82">
      <c r="A32" s="1190" t="s">
        <v>2509</v>
      </c>
      <c r="B32" s="788">
        <f>+B30+B31</f>
        <v>3911450.6036879509</v>
      </c>
      <c r="C32" s="1214">
        <f>+C30+C31</f>
        <v>33322540.365000006</v>
      </c>
      <c r="L32" s="782">
        <f>+L31/2</f>
        <v>-12473</v>
      </c>
      <c r="O32" s="783" t="s">
        <v>2510</v>
      </c>
      <c r="P32" s="783">
        <f>+P16+P17+P18+P19+P24</f>
        <v>585094</v>
      </c>
      <c r="R32" s="783">
        <f>+R16+R17+R18+R19+R23</f>
        <v>572621</v>
      </c>
      <c r="S32" s="783">
        <f>+R32-P32</f>
        <v>-12473</v>
      </c>
    </row>
    <row r="33" spans="1:82">
      <c r="A33" s="1198"/>
      <c r="B33" s="790"/>
      <c r="C33" s="1212"/>
      <c r="O33" s="783" t="s">
        <v>2511</v>
      </c>
      <c r="P33" s="783">
        <f>+P27</f>
        <v>4514807.180287933</v>
      </c>
      <c r="R33" s="783">
        <f>+R27</f>
        <v>16160409.421267949</v>
      </c>
      <c r="S33" s="783">
        <f>+P33-R33</f>
        <v>-11645602.240980016</v>
      </c>
    </row>
    <row r="34" spans="1:82">
      <c r="A34" s="1193" t="s">
        <v>2512</v>
      </c>
      <c r="B34" s="787"/>
      <c r="C34" s="1212"/>
      <c r="O34" s="783" t="s">
        <v>2513</v>
      </c>
      <c r="P34" s="783">
        <f>+[72]Computation!I83</f>
        <v>655513</v>
      </c>
      <c r="R34" s="783">
        <v>2326918</v>
      </c>
      <c r="S34" s="783">
        <f>+R34-P34</f>
        <v>1671405</v>
      </c>
    </row>
    <row r="35" spans="1:82" s="795" customFormat="1">
      <c r="A35" s="1198" t="s">
        <v>2514</v>
      </c>
      <c r="B35" s="790">
        <f>+(BSPL!H9-BSPL!G9)+(BSPL!H231-BSPL!G231)+(BSPL!G455-BSPL!H455)-SUM(Depreciation!B10:I10)</f>
        <v>-90751787.390000015</v>
      </c>
      <c r="C35" s="1212">
        <v>-60792146.597719759</v>
      </c>
      <c r="G35" s="795">
        <v>-20356671.280000001</v>
      </c>
      <c r="H35" s="795">
        <f>+G35+(G36-F36)+(G37-F37)+(F38-G38)</f>
        <v>-21384868.280000001</v>
      </c>
      <c r="L35" s="796"/>
      <c r="M35" s="796"/>
      <c r="N35" s="796"/>
      <c r="O35" s="797" t="s">
        <v>2515</v>
      </c>
      <c r="P35" s="797">
        <f>-[72]BSPL!F371</f>
        <v>1808134</v>
      </c>
      <c r="Q35" s="797"/>
      <c r="R35" s="797">
        <f>-[72]BSPL!G371</f>
        <v>7089950.0863537798</v>
      </c>
      <c r="S35" s="797">
        <f>+R35-P35</f>
        <v>5281816.0863537798</v>
      </c>
      <c r="T35" s="796"/>
      <c r="U35" s="796"/>
      <c r="V35" s="796"/>
      <c r="W35" s="796"/>
      <c r="X35" s="796"/>
      <c r="Y35" s="796"/>
      <c r="Z35" s="796"/>
      <c r="AA35" s="796"/>
      <c r="AB35" s="796"/>
      <c r="AC35" s="796"/>
      <c r="AD35" s="796"/>
      <c r="AE35" s="796"/>
      <c r="AF35" s="796"/>
      <c r="AG35" s="796"/>
      <c r="AH35" s="796"/>
      <c r="AI35" s="796"/>
      <c r="AJ35" s="796"/>
      <c r="AK35" s="796"/>
      <c r="AL35" s="796"/>
      <c r="AM35" s="796"/>
      <c r="AN35" s="796"/>
      <c r="AO35" s="796"/>
      <c r="AP35" s="796"/>
      <c r="AQ35" s="796"/>
      <c r="AR35" s="796"/>
      <c r="AS35" s="796"/>
      <c r="AT35" s="796"/>
      <c r="AU35" s="796"/>
      <c r="AW35" s="799"/>
      <c r="AX35" s="799"/>
      <c r="AY35" s="799"/>
      <c r="AZ35" s="799"/>
      <c r="BA35" s="799"/>
      <c r="BB35" s="799"/>
      <c r="BC35" s="799"/>
      <c r="BD35" s="799"/>
      <c r="BE35" s="799"/>
      <c r="BF35" s="799"/>
      <c r="BG35" s="799"/>
      <c r="BH35" s="799"/>
      <c r="BI35" s="799"/>
      <c r="BJ35" s="799"/>
      <c r="BK35" s="799"/>
      <c r="BL35" s="799"/>
      <c r="BM35" s="799"/>
      <c r="BN35" s="799"/>
      <c r="BO35" s="799"/>
      <c r="BP35" s="799"/>
      <c r="BQ35" s="799"/>
      <c r="BR35" s="799"/>
      <c r="BS35" s="799"/>
      <c r="BT35" s="799"/>
      <c r="BU35" s="799"/>
      <c r="BV35" s="799"/>
      <c r="BW35" s="799"/>
      <c r="BX35" s="799"/>
      <c r="BY35" s="799"/>
      <c r="BZ35" s="799"/>
      <c r="CA35" s="799"/>
      <c r="CB35" s="799"/>
      <c r="CC35" s="799"/>
      <c r="CD35" s="799"/>
    </row>
    <row r="36" spans="1:82" s="795" customFormat="1">
      <c r="A36" s="1198" t="s">
        <v>2516</v>
      </c>
      <c r="B36" s="790">
        <v>0</v>
      </c>
      <c r="C36" s="1212">
        <v>0</v>
      </c>
      <c r="F36" s="795">
        <f>+[72]BSPL!G9</f>
        <v>484789</v>
      </c>
      <c r="G36" s="795">
        <v>382310</v>
      </c>
      <c r="L36" s="796"/>
      <c r="M36" s="796"/>
      <c r="N36" s="796"/>
      <c r="O36" s="797"/>
      <c r="P36" s="797">
        <f>+([72]BSPL!F412-[72]BSPL!G412)</f>
        <v>-1488650.2409800161</v>
      </c>
      <c r="Q36" s="797"/>
      <c r="R36" s="797"/>
      <c r="S36" s="797"/>
      <c r="T36" s="796"/>
      <c r="U36" s="796"/>
      <c r="V36" s="796"/>
      <c r="W36" s="796"/>
      <c r="X36" s="796"/>
      <c r="Y36" s="796"/>
      <c r="Z36" s="796"/>
      <c r="AA36" s="796"/>
      <c r="AB36" s="796"/>
      <c r="AC36" s="796"/>
      <c r="AD36" s="796"/>
      <c r="AE36" s="796"/>
      <c r="AF36" s="796"/>
      <c r="AG36" s="796"/>
      <c r="AH36" s="796"/>
      <c r="AI36" s="796"/>
      <c r="AJ36" s="796"/>
      <c r="AK36" s="796"/>
      <c r="AL36" s="796"/>
      <c r="AM36" s="796"/>
      <c r="AN36" s="796"/>
      <c r="AO36" s="796"/>
      <c r="AP36" s="796"/>
      <c r="AQ36" s="796"/>
      <c r="AR36" s="796"/>
      <c r="AS36" s="796"/>
      <c r="AT36" s="796"/>
      <c r="AU36" s="796"/>
      <c r="AW36" s="799"/>
      <c r="AX36" s="799"/>
      <c r="AY36" s="799"/>
      <c r="AZ36" s="799"/>
      <c r="BA36" s="799"/>
      <c r="BB36" s="799"/>
      <c r="BC36" s="799"/>
      <c r="BD36" s="799"/>
      <c r="BE36" s="799"/>
      <c r="BF36" s="799"/>
      <c r="BG36" s="799"/>
      <c r="BH36" s="799"/>
      <c r="BI36" s="799"/>
      <c r="BJ36" s="799"/>
      <c r="BK36" s="799"/>
      <c r="BL36" s="799"/>
      <c r="BM36" s="799"/>
      <c r="BN36" s="799"/>
      <c r="BO36" s="799"/>
      <c r="BP36" s="799"/>
      <c r="BQ36" s="799"/>
      <c r="BR36" s="799"/>
      <c r="BS36" s="799"/>
      <c r="BT36" s="799"/>
      <c r="BU36" s="799"/>
      <c r="BV36" s="799"/>
      <c r="BW36" s="799"/>
      <c r="BX36" s="799"/>
      <c r="BY36" s="799"/>
      <c r="BZ36" s="799"/>
      <c r="CA36" s="799"/>
      <c r="CB36" s="799"/>
      <c r="CC36" s="799"/>
      <c r="CD36" s="799"/>
    </row>
    <row r="37" spans="1:82" hidden="1">
      <c r="A37" s="1198" t="s">
        <v>2517</v>
      </c>
      <c r="B37" s="790"/>
      <c r="C37" s="1212">
        <v>0</v>
      </c>
      <c r="F37">
        <f>+[72]BSPL!G241</f>
        <v>1521769</v>
      </c>
      <c r="G37">
        <v>0</v>
      </c>
      <c r="P37" s="783">
        <f>+([72]BSPL!F371-[72]BSPL!G371)</f>
        <v>5281816.0863537798</v>
      </c>
    </row>
    <row r="38" spans="1:82" hidden="1">
      <c r="A38" s="1198" t="s">
        <v>2518</v>
      </c>
      <c r="B38" s="790"/>
      <c r="C38" s="1212">
        <v>0</v>
      </c>
      <c r="F38">
        <f>+[72]BSPL!G403</f>
        <v>775995</v>
      </c>
      <c r="G38">
        <v>179944</v>
      </c>
      <c r="P38" s="783">
        <f>+([72]BSPL!G22-[72]BSPL!F22)</f>
        <v>-12473</v>
      </c>
    </row>
    <row r="39" spans="1:82" hidden="1">
      <c r="A39" s="1198" t="s">
        <v>2519</v>
      </c>
      <c r="B39" s="790"/>
      <c r="C39" s="1212">
        <v>0</v>
      </c>
    </row>
    <row r="40" spans="1:82" hidden="1">
      <c r="A40" s="1198" t="s">
        <v>2520</v>
      </c>
      <c r="B40" s="790"/>
      <c r="C40" s="1212">
        <v>0</v>
      </c>
    </row>
    <row r="41" spans="1:82">
      <c r="A41" s="1198"/>
      <c r="B41" s="790"/>
      <c r="C41" s="1212"/>
    </row>
    <row r="42" spans="1:82">
      <c r="A42" s="1190" t="s">
        <v>2521</v>
      </c>
      <c r="B42" s="788">
        <f>SUM(B35:B41)</f>
        <v>-90751787.390000015</v>
      </c>
      <c r="C42" s="1214">
        <f>SUM(C35:C41)</f>
        <v>-60792146.597719759</v>
      </c>
    </row>
    <row r="43" spans="1:82">
      <c r="A43" s="1198" t="s">
        <v>841</v>
      </c>
      <c r="B43" s="790"/>
      <c r="C43" s="1212"/>
    </row>
    <row r="44" spans="1:82">
      <c r="A44" s="1193" t="s">
        <v>2522</v>
      </c>
      <c r="B44" s="787"/>
      <c r="C44" s="1212"/>
    </row>
    <row r="45" spans="1:82" hidden="1">
      <c r="A45" s="1198" t="s">
        <v>2523</v>
      </c>
      <c r="B45" s="790"/>
      <c r="C45" s="1212">
        <v>0</v>
      </c>
    </row>
    <row r="46" spans="1:82">
      <c r="A46" s="1198" t="s">
        <v>2524</v>
      </c>
      <c r="B46" s="790">
        <f>+BSPL!G39-BSPL!H39+BSPL!G367-BSPL!H367+BSPL!G377-BSPL!H377+BSPL!G378-BSPL!H378</f>
        <v>103923452.71000001</v>
      </c>
      <c r="C46" s="1212">
        <v>13266364.190000003</v>
      </c>
      <c r="E46" s="136" t="s">
        <v>2525</v>
      </c>
      <c r="F46">
        <f>+[72]BSPL!G40</f>
        <v>55675684.390000001</v>
      </c>
      <c r="G46">
        <v>56946206.869999997</v>
      </c>
      <c r="H46">
        <f>+F46-G46</f>
        <v>-1270522.4799999967</v>
      </c>
      <c r="I46">
        <v>-1270522.4799999967</v>
      </c>
      <c r="J46">
        <f>+H46-I46</f>
        <v>0</v>
      </c>
    </row>
    <row r="47" spans="1:82">
      <c r="A47" s="1198" t="s">
        <v>2526</v>
      </c>
      <c r="B47" s="790">
        <f>+BSPL!G372-BSPL!H372</f>
        <v>-8334845.9100000001</v>
      </c>
      <c r="C47" s="1212">
        <v>21690743.600000001</v>
      </c>
      <c r="F47">
        <f>+[72]BSPL!G351+[72]BSPL!G400+[72]BSPL!G401</f>
        <v>49684017</v>
      </c>
      <c r="G47">
        <f>69355820+16692000</f>
        <v>86047820</v>
      </c>
      <c r="H47">
        <f>+F47-G47</f>
        <v>-36363803</v>
      </c>
    </row>
    <row r="48" spans="1:82">
      <c r="A48" s="1198" t="s">
        <v>2527</v>
      </c>
      <c r="B48" s="790">
        <f>-'Cash Flow'!B11</f>
        <v>-8587641</v>
      </c>
      <c r="C48" s="1212">
        <v>-7742222.1500000004</v>
      </c>
    </row>
    <row r="49" spans="1:53">
      <c r="A49" s="1198"/>
      <c r="B49" s="800"/>
      <c r="C49" s="1212"/>
    </row>
    <row r="50" spans="1:53">
      <c r="A50" s="1190" t="s">
        <v>2528</v>
      </c>
      <c r="B50" s="788">
        <f>SUM(B45:B49)</f>
        <v>87000965.800000012</v>
      </c>
      <c r="C50" s="1214">
        <f>SUM(C45:C49)</f>
        <v>27214885.640000008</v>
      </c>
    </row>
    <row r="51" spans="1:53">
      <c r="A51" s="1193"/>
      <c r="B51" s="787"/>
      <c r="C51" s="1212"/>
    </row>
    <row r="52" spans="1:53">
      <c r="A52" s="1190" t="s">
        <v>2529</v>
      </c>
      <c r="B52" s="788">
        <f>+B50+B42+B32</f>
        <v>160629.0136879473</v>
      </c>
      <c r="C52" s="1214">
        <f>+C50+C42+C32</f>
        <v>-254720.59271974489</v>
      </c>
    </row>
    <row r="53" spans="1:53">
      <c r="A53" s="1193"/>
      <c r="B53" s="787"/>
      <c r="C53" s="1212"/>
    </row>
    <row r="54" spans="1:53">
      <c r="A54" s="1204" t="s">
        <v>2530</v>
      </c>
      <c r="B54" s="801">
        <f>+C56</f>
        <v>79147.435169462115</v>
      </c>
      <c r="C54" s="1215">
        <v>333868.02788920701</v>
      </c>
      <c r="AW54" s="802"/>
    </row>
    <row r="55" spans="1:53">
      <c r="A55" s="1049"/>
      <c r="B55" s="1147"/>
      <c r="C55" s="1212"/>
    </row>
    <row r="56" spans="1:53">
      <c r="A56" s="1190" t="s">
        <v>2531</v>
      </c>
      <c r="B56" s="788">
        <f>+B52+B54</f>
        <v>239776.44885740941</v>
      </c>
      <c r="C56" s="1216">
        <f>+C52+C54</f>
        <v>79147.435169462115</v>
      </c>
      <c r="D56">
        <v>-96650</v>
      </c>
      <c r="E56" s="136" t="e">
        <f>+#REF!+D56</f>
        <v>#REF!</v>
      </c>
      <c r="L56" s="782">
        <v>283262.68508566916</v>
      </c>
      <c r="AW56" s="784">
        <f>+BSPL!G18</f>
        <v>239775.64</v>
      </c>
      <c r="AX56" s="1080">
        <f>+AW56-B56</f>
        <v>-0.80885740939993411</v>
      </c>
      <c r="AY56" s="802"/>
      <c r="AZ56" s="802"/>
      <c r="BA56" s="802"/>
    </row>
    <row r="57" spans="1:53">
      <c r="A57" s="1217"/>
      <c r="C57" s="1218"/>
      <c r="D57" s="136"/>
      <c r="L57" s="805">
        <f>+C56-L56</f>
        <v>-204115.24991620705</v>
      </c>
      <c r="AW57" s="806"/>
    </row>
    <row r="58" spans="1:53" ht="0.75" customHeight="1">
      <c r="A58" s="1217"/>
      <c r="C58" s="1218"/>
    </row>
    <row r="59" spans="1:53" ht="34.5" customHeight="1">
      <c r="A59" s="2094" t="s">
        <v>2532</v>
      </c>
      <c r="B59" s="2095"/>
      <c r="C59" s="2096"/>
    </row>
    <row r="60" spans="1:53">
      <c r="A60" s="1219"/>
      <c r="B60" s="1220"/>
      <c r="C60" s="1221"/>
    </row>
    <row r="61" spans="1:53" ht="18">
      <c r="A61" s="1222" t="s">
        <v>823</v>
      </c>
      <c r="B61" s="1223"/>
      <c r="C61" s="1224" t="s">
        <v>824</v>
      </c>
    </row>
    <row r="62" spans="1:53" ht="18">
      <c r="A62" s="1225" t="s">
        <v>2533</v>
      </c>
      <c r="B62" s="1226"/>
      <c r="C62" s="1224"/>
    </row>
    <row r="63" spans="1:53" ht="18">
      <c r="A63" s="1225" t="s">
        <v>827</v>
      </c>
      <c r="B63" s="1226"/>
      <c r="C63" s="1224"/>
    </row>
    <row r="64" spans="1:53" ht="18">
      <c r="A64" s="1225" t="s">
        <v>2534</v>
      </c>
      <c r="B64" s="1226"/>
      <c r="C64" s="1224"/>
    </row>
    <row r="65" spans="1:3" ht="18">
      <c r="A65" s="1225"/>
      <c r="B65" s="1226"/>
      <c r="C65" s="1227" t="s">
        <v>826</v>
      </c>
    </row>
    <row r="66" spans="1:3" ht="18">
      <c r="A66" s="1225"/>
      <c r="B66" s="1226"/>
      <c r="C66" s="1228" t="s">
        <v>828</v>
      </c>
    </row>
    <row r="67" spans="1:3" ht="18">
      <c r="A67" s="1225"/>
      <c r="B67" s="1226"/>
      <c r="C67" s="1228"/>
    </row>
    <row r="68" spans="1:3" ht="37.200000000000003" customHeight="1">
      <c r="A68" s="1225"/>
      <c r="B68" s="1226"/>
      <c r="C68" s="1228"/>
    </row>
    <row r="69" spans="1:3" ht="18">
      <c r="A69" s="1225"/>
      <c r="B69" s="1226"/>
      <c r="C69" s="1231" t="s">
        <v>830</v>
      </c>
    </row>
    <row r="70" spans="1:3" ht="18">
      <c r="A70" s="1225" t="s">
        <v>2789</v>
      </c>
      <c r="B70" s="1226"/>
      <c r="C70" s="1224" t="s">
        <v>831</v>
      </c>
    </row>
    <row r="71" spans="1:3" ht="18">
      <c r="A71" s="1225" t="s">
        <v>832</v>
      </c>
      <c r="B71" s="1226"/>
      <c r="C71" s="1228"/>
    </row>
    <row r="72" spans="1:3" ht="18">
      <c r="A72" s="1225" t="s">
        <v>2790</v>
      </c>
      <c r="B72" s="1226"/>
      <c r="C72" s="1224"/>
    </row>
    <row r="73" spans="1:3" ht="18">
      <c r="A73" s="1229" t="s">
        <v>834</v>
      </c>
      <c r="B73" s="1226"/>
      <c r="C73" s="1224"/>
    </row>
    <row r="74" spans="1:3" ht="37.5" customHeight="1">
      <c r="A74" s="1230" t="s">
        <v>2969</v>
      </c>
      <c r="B74" s="2097" t="str">
        <f>+[73]BSPL!E127</f>
        <v>JARNAIL SINGH SAINI - CHIEF FINANCIAL OFFICER &amp; EXECUTIVE DIRECTOR</v>
      </c>
      <c r="C74" s="2098"/>
    </row>
    <row r="75" spans="1:3" ht="20.25" customHeight="1">
      <c r="A75" s="1229"/>
      <c r="B75" s="1226"/>
      <c r="C75" s="1228" t="s">
        <v>835</v>
      </c>
    </row>
    <row r="76" spans="1:3" ht="18">
      <c r="A76" s="1225"/>
      <c r="B76" s="1226"/>
      <c r="C76" s="1228"/>
    </row>
    <row r="77" spans="1:3" ht="18">
      <c r="A77" s="1225"/>
      <c r="B77" s="1226"/>
      <c r="C77" s="1228"/>
    </row>
    <row r="78" spans="1:3" ht="18">
      <c r="A78" s="1225"/>
      <c r="B78" s="1226"/>
      <c r="C78" s="1228"/>
    </row>
    <row r="79" spans="1:3" ht="18">
      <c r="A79" s="1225"/>
      <c r="B79" s="1226"/>
      <c r="C79" s="1227" t="s">
        <v>2535</v>
      </c>
    </row>
    <row r="80" spans="1:3" ht="18">
      <c r="A80" s="1225"/>
      <c r="B80" s="1226"/>
      <c r="C80" s="1228" t="s">
        <v>837</v>
      </c>
    </row>
    <row r="81" spans="1:3" ht="18">
      <c r="A81" s="1225"/>
      <c r="B81" s="1226"/>
      <c r="C81" s="1228"/>
    </row>
    <row r="82" spans="1:3" ht="18">
      <c r="A82" s="1225"/>
      <c r="B82" s="1226"/>
      <c r="C82" s="1228"/>
    </row>
    <row r="83" spans="1:3" ht="18">
      <c r="A83" s="1225"/>
      <c r="B83" s="1226"/>
      <c r="C83" s="1228"/>
    </row>
    <row r="84" spans="1:3" ht="18">
      <c r="A84" s="1225"/>
      <c r="B84" s="1226"/>
      <c r="C84" s="1231" t="s">
        <v>838</v>
      </c>
    </row>
    <row r="85" spans="1:3" ht="18">
      <c r="A85" s="1225"/>
      <c r="B85" s="1226"/>
      <c r="C85" s="1224" t="s">
        <v>834</v>
      </c>
    </row>
    <row r="86" spans="1:3" ht="18.600000000000001" thickBot="1">
      <c r="A86" s="1232"/>
      <c r="B86" s="1233"/>
      <c r="C86" s="1234" t="str">
        <f>+A74</f>
        <v>Date: 27/05/2023</v>
      </c>
    </row>
  </sheetData>
  <mergeCells count="4">
    <mergeCell ref="A2:C2"/>
    <mergeCell ref="A3:C3"/>
    <mergeCell ref="A59:C59"/>
    <mergeCell ref="B74:C74"/>
  </mergeCells>
  <pageMargins left="1.37" right="0.7" top="0.75" bottom="0.75" header="0.3" footer="0.3"/>
  <pageSetup scale="48" orientation="portrait" r:id="rId1"/>
  <colBreaks count="1" manualBreakCount="1">
    <brk id="3" min="1" max="8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C2:L39"/>
  <sheetViews>
    <sheetView workbookViewId="0">
      <selection activeCell="I13" sqref="I13"/>
    </sheetView>
  </sheetViews>
  <sheetFormatPr defaultColWidth="8.88671875" defaultRowHeight="14.4"/>
  <cols>
    <col min="3" max="3" width="59.33203125" bestFit="1" customWidth="1"/>
    <col min="4" max="4" width="5.5546875" bestFit="1" customWidth="1"/>
    <col min="6" max="6" width="42.109375" bestFit="1" customWidth="1"/>
    <col min="9" max="9" width="27.44140625" bestFit="1" customWidth="1"/>
    <col min="10" max="10" width="22.44140625" bestFit="1" customWidth="1"/>
  </cols>
  <sheetData>
    <row r="2" spans="3:12" ht="15.6">
      <c r="C2" s="2389" t="s">
        <v>2198</v>
      </c>
      <c r="D2" s="2390"/>
      <c r="E2" s="2390"/>
      <c r="F2" s="2390"/>
      <c r="G2" s="2390"/>
      <c r="H2" s="2390"/>
      <c r="I2" s="2390"/>
      <c r="J2" s="2391"/>
    </row>
    <row r="3" spans="3:12" ht="15.6">
      <c r="C3" s="544"/>
      <c r="D3" s="545"/>
      <c r="E3" s="545"/>
      <c r="F3" s="546"/>
      <c r="G3" s="546"/>
      <c r="H3" s="546"/>
      <c r="I3" s="545"/>
      <c r="J3" s="547"/>
    </row>
    <row r="4" spans="3:12" ht="15.6">
      <c r="C4" s="2392" t="s">
        <v>2318</v>
      </c>
      <c r="D4" s="2393"/>
      <c r="E4" s="2393"/>
      <c r="F4" s="2393"/>
      <c r="G4" s="2393"/>
      <c r="H4" s="2393"/>
      <c r="I4" s="2393"/>
      <c r="J4" s="2394"/>
    </row>
    <row r="5" spans="3:12" ht="15.6">
      <c r="C5" s="544"/>
      <c r="D5" s="545"/>
      <c r="E5" s="545"/>
      <c r="F5" s="546"/>
      <c r="G5" s="546"/>
      <c r="H5" s="546"/>
      <c r="I5" s="545"/>
      <c r="J5" s="547"/>
    </row>
    <row r="6" spans="3:12" ht="15.6">
      <c r="C6" s="2395">
        <v>45016</v>
      </c>
      <c r="D6" s="2396"/>
      <c r="E6" s="2396"/>
      <c r="F6" s="2396"/>
      <c r="G6" s="2396"/>
      <c r="H6" s="2396"/>
      <c r="I6" s="2396"/>
      <c r="J6" s="2397"/>
    </row>
    <row r="7" spans="3:12" ht="15.6">
      <c r="C7" s="548"/>
      <c r="D7" s="549"/>
      <c r="E7" s="549"/>
      <c r="F7" s="550"/>
      <c r="G7" s="550"/>
      <c r="H7" s="550"/>
      <c r="I7" s="549"/>
      <c r="J7" s="551">
        <f>+L11</f>
        <v>0.25168000000000001</v>
      </c>
      <c r="L7" s="552">
        <v>0.22</v>
      </c>
    </row>
    <row r="8" spans="3:12" ht="15.6">
      <c r="C8" s="553" t="s">
        <v>532</v>
      </c>
      <c r="D8" s="554"/>
      <c r="E8" s="554"/>
      <c r="F8" s="555"/>
      <c r="G8" s="555"/>
      <c r="H8" s="555"/>
      <c r="I8" s="556" t="s">
        <v>2299</v>
      </c>
      <c r="J8" s="556" t="s">
        <v>2300</v>
      </c>
      <c r="L8" s="557">
        <f>+L7*0.1</f>
        <v>2.2000000000000002E-2</v>
      </c>
    </row>
    <row r="9" spans="3:12" ht="15.6">
      <c r="C9" s="558"/>
      <c r="D9" s="559"/>
      <c r="E9" s="559"/>
      <c r="F9" s="560"/>
      <c r="G9" s="561"/>
      <c r="H9" s="560"/>
      <c r="I9" s="562"/>
      <c r="J9" s="562"/>
      <c r="L9" s="563">
        <f>+L7+L8</f>
        <v>0.24199999999999999</v>
      </c>
    </row>
    <row r="10" spans="3:12" ht="15.6">
      <c r="C10" s="564">
        <v>43922</v>
      </c>
      <c r="D10" s="565"/>
      <c r="E10" s="565"/>
      <c r="F10" s="566"/>
      <c r="G10" s="567"/>
      <c r="H10" s="566"/>
      <c r="I10" s="567">
        <f>+[82]BSPL!H36</f>
        <v>19475120.165946875</v>
      </c>
      <c r="J10" s="568"/>
      <c r="L10" s="563">
        <f>+L9*0.04</f>
        <v>9.6799999999999994E-3</v>
      </c>
    </row>
    <row r="11" spans="3:12" ht="15.6">
      <c r="C11" s="569"/>
      <c r="D11" s="570"/>
      <c r="E11" s="570"/>
      <c r="F11" s="571"/>
      <c r="G11" s="572"/>
      <c r="H11" s="571"/>
      <c r="I11" s="573"/>
      <c r="J11" s="573"/>
      <c r="L11" s="574">
        <f>+L9+L10</f>
        <v>0.25168000000000001</v>
      </c>
    </row>
    <row r="12" spans="3:12" ht="15.6">
      <c r="C12" s="575" t="s">
        <v>2301</v>
      </c>
      <c r="D12" s="570"/>
      <c r="E12" s="570"/>
      <c r="F12" s="571"/>
      <c r="G12" s="572"/>
      <c r="H12" s="571"/>
      <c r="I12" s="573"/>
      <c r="J12" s="573"/>
    </row>
    <row r="13" spans="3:12" ht="15.6">
      <c r="C13" s="569" t="s">
        <v>2302</v>
      </c>
      <c r="D13" s="576"/>
      <c r="E13" s="576"/>
      <c r="F13" s="577"/>
      <c r="G13" s="578"/>
      <c r="H13" s="577"/>
      <c r="I13" s="579">
        <f>+[82]Depreciation!K71-[82]Depreciation!K63-[81]Building!$EB$464</f>
        <v>159222754.06426284</v>
      </c>
      <c r="J13" s="573"/>
    </row>
    <row r="14" spans="3:12" ht="15.6">
      <c r="C14" s="569" t="s">
        <v>2303</v>
      </c>
      <c r="D14" s="576"/>
      <c r="E14" s="576"/>
      <c r="F14" s="577"/>
      <c r="G14" s="578"/>
      <c r="H14" s="577"/>
      <c r="I14" s="579">
        <f>+'[82]IT Dep'!P61-'[82]IT Dep'!P21</f>
        <v>92429234.648681045</v>
      </c>
      <c r="J14" s="573"/>
    </row>
    <row r="15" spans="3:12" ht="16.2" thickBot="1">
      <c r="C15" s="575"/>
      <c r="D15" s="576"/>
      <c r="E15" s="576"/>
      <c r="F15" s="580" t="s">
        <v>2304</v>
      </c>
      <c r="G15" s="581"/>
      <c r="H15" s="580"/>
      <c r="I15" s="582">
        <f>+I13-I14</f>
        <v>66793519.415581793</v>
      </c>
      <c r="J15" s="583">
        <f>I15*$J$7</f>
        <v>16810592.966513626</v>
      </c>
    </row>
    <row r="16" spans="3:12" ht="16.2" thickTop="1">
      <c r="C16" s="575"/>
      <c r="D16" s="576"/>
      <c r="E16" s="576"/>
      <c r="F16" s="577"/>
      <c r="G16" s="578"/>
      <c r="H16" s="577"/>
      <c r="I16" s="578"/>
      <c r="J16" s="573"/>
    </row>
    <row r="17" spans="3:10" ht="15.6">
      <c r="C17" s="569"/>
      <c r="D17" s="576"/>
      <c r="E17" s="576"/>
      <c r="F17" s="577"/>
      <c r="G17" s="578"/>
      <c r="H17" s="577"/>
      <c r="I17" s="573"/>
      <c r="J17" s="573"/>
    </row>
    <row r="18" spans="3:10" ht="15.6">
      <c r="C18" s="569" t="s">
        <v>2305</v>
      </c>
      <c r="D18" s="576"/>
      <c r="E18" s="576"/>
      <c r="F18" s="577"/>
      <c r="G18" s="578"/>
      <c r="H18" s="577"/>
      <c r="I18" s="584">
        <f>+[82]COI!I22</f>
        <v>1486209</v>
      </c>
      <c r="J18" s="573"/>
    </row>
    <row r="19" spans="3:10" ht="15.6">
      <c r="C19" s="569" t="s">
        <v>2306</v>
      </c>
      <c r="D19" s="576"/>
      <c r="E19" s="576"/>
      <c r="F19" s="577"/>
      <c r="G19" s="578"/>
      <c r="H19" s="577"/>
      <c r="I19" s="584">
        <f>+[82]COI!I18</f>
        <v>912232</v>
      </c>
      <c r="J19" s="573"/>
    </row>
    <row r="20" spans="3:10" ht="15.6">
      <c r="C20" s="569" t="s">
        <v>2307</v>
      </c>
      <c r="D20" s="576"/>
      <c r="E20" s="576"/>
      <c r="F20" s="577"/>
      <c r="G20" s="578"/>
      <c r="H20" s="577"/>
      <c r="I20" s="584" t="e">
        <f>+GETPIVOTDATA("Sum of Cr. Final 21-22",[82]Pivot!$A$3,"PARTICULARS","Leave Encashment Payable","Note",20,"BS Main Head","Short Term Provisions","BS Sub Head","Provision for Employee Benefit")</f>
        <v>#REF!</v>
      </c>
      <c r="J20" s="573"/>
    </row>
    <row r="21" spans="3:10" ht="16.2" thickBot="1">
      <c r="C21" s="569"/>
      <c r="D21" s="576"/>
      <c r="E21" s="576"/>
      <c r="F21" s="576"/>
      <c r="G21" s="573"/>
      <c r="H21" s="576"/>
      <c r="I21" s="585" t="e">
        <f>SUM(I17:I20)</f>
        <v>#REF!</v>
      </c>
      <c r="J21" s="583" t="e">
        <f>I21*$J$7</f>
        <v>#REF!</v>
      </c>
    </row>
    <row r="22" spans="3:10" ht="16.2" thickTop="1">
      <c r="C22" s="569"/>
      <c r="D22" s="576"/>
      <c r="E22" s="576"/>
      <c r="F22" s="577"/>
      <c r="G22" s="578"/>
      <c r="H22" s="577"/>
      <c r="I22" s="586"/>
      <c r="J22" s="572"/>
    </row>
    <row r="23" spans="3:10" ht="15.6">
      <c r="C23" s="569" t="s">
        <v>2308</v>
      </c>
      <c r="D23" s="576"/>
      <c r="E23" s="576"/>
      <c r="F23" s="577"/>
      <c r="G23" s="578"/>
      <c r="H23" s="577"/>
      <c r="I23" s="578">
        <v>0</v>
      </c>
      <c r="J23" s="573"/>
    </row>
    <row r="24" spans="3:10" ht="16.2" thickBot="1">
      <c r="C24" s="569" t="s">
        <v>144</v>
      </c>
      <c r="D24" s="576"/>
      <c r="E24" s="576"/>
      <c r="F24" s="577"/>
      <c r="G24" s="578"/>
      <c r="H24" s="577"/>
      <c r="I24" s="578">
        <v>0</v>
      </c>
      <c r="J24" s="583">
        <f>(SUM(I23:I24))*$J$7</f>
        <v>0</v>
      </c>
    </row>
    <row r="25" spans="3:10" ht="16.8" thickTop="1" thickBot="1">
      <c r="C25" s="575"/>
      <c r="D25" s="570"/>
      <c r="E25" s="570"/>
      <c r="F25" s="580" t="s">
        <v>2309</v>
      </c>
      <c r="G25" s="581"/>
      <c r="H25" s="580"/>
      <c r="I25" s="582" t="e">
        <f>I21+I24+I23</f>
        <v>#REF!</v>
      </c>
      <c r="J25" s="582" t="e">
        <f>SUM(J21:J24)</f>
        <v>#REF!</v>
      </c>
    </row>
    <row r="26" spans="3:10" ht="16.2" thickTop="1">
      <c r="C26" s="569"/>
      <c r="D26" s="576"/>
      <c r="E26" s="576"/>
      <c r="F26" s="587"/>
      <c r="G26" s="588"/>
      <c r="H26" s="587"/>
      <c r="I26" s="578"/>
      <c r="J26" s="589"/>
    </row>
    <row r="27" spans="3:10" ht="15.6">
      <c r="C27" s="569" t="s">
        <v>2310</v>
      </c>
      <c r="D27" s="576"/>
      <c r="E27" s="576"/>
      <c r="F27" s="587"/>
      <c r="G27" s="588"/>
      <c r="H27" s="587"/>
      <c r="I27" s="578"/>
      <c r="J27" s="578" t="e">
        <f>+J25</f>
        <v>#REF!</v>
      </c>
    </row>
    <row r="28" spans="3:10" ht="15.6">
      <c r="C28" s="569" t="s">
        <v>2311</v>
      </c>
      <c r="D28" s="576"/>
      <c r="E28" s="576"/>
      <c r="F28" s="587"/>
      <c r="G28" s="588"/>
      <c r="H28" s="587"/>
      <c r="I28" s="578"/>
      <c r="J28" s="578">
        <f>+J15</f>
        <v>16810592.966513626</v>
      </c>
    </row>
    <row r="29" spans="3:10" ht="16.2" thickBot="1">
      <c r="C29" s="575"/>
      <c r="D29" s="570"/>
      <c r="E29" s="570"/>
      <c r="F29" s="580" t="e">
        <f>IF(J27&gt;J28,"Net Deferred Tax Asset","Net Deferred Tax Liability")</f>
        <v>#REF!</v>
      </c>
      <c r="G29" s="581"/>
      <c r="H29" s="580"/>
      <c r="I29" s="582">
        <f>IF(I27&gt;I28,(I27-I28),(I28-I27))</f>
        <v>0</v>
      </c>
      <c r="J29" s="582" t="e">
        <f>IF(J27&gt;J28,(J27-J28),(J28-J27))</f>
        <v>#REF!</v>
      </c>
    </row>
    <row r="30" spans="3:10" ht="16.2" thickTop="1">
      <c r="C30" s="569"/>
      <c r="D30" s="570"/>
      <c r="E30" s="576"/>
      <c r="F30" s="577"/>
      <c r="G30" s="578"/>
      <c r="H30" s="577"/>
      <c r="I30" s="572"/>
      <c r="J30" s="573"/>
    </row>
    <row r="31" spans="3:10" ht="15.6">
      <c r="C31" s="569" t="e">
        <f>IF(J28&lt;J27,"Closing Balance of Deferred Tax Assets","Closing Balance of Deferred Tax Liability")</f>
        <v>#REF!</v>
      </c>
      <c r="D31" s="570"/>
      <c r="E31" s="576"/>
      <c r="F31" s="577"/>
      <c r="G31" s="578"/>
      <c r="H31" s="577"/>
      <c r="I31" s="578" t="e">
        <f>IF(J28&lt;J27,(J27-J28),(J28-J27))</f>
        <v>#REF!</v>
      </c>
      <c r="J31" s="590"/>
    </row>
    <row r="32" spans="3:10" ht="15.6">
      <c r="C32" s="569" t="s">
        <v>2312</v>
      </c>
      <c r="D32" s="570"/>
      <c r="E32" s="576"/>
      <c r="F32" s="577"/>
      <c r="G32" s="578"/>
      <c r="H32" s="577"/>
      <c r="I32" s="578">
        <f>+I10</f>
        <v>19475120.165946875</v>
      </c>
      <c r="J32" s="573"/>
    </row>
    <row r="33" spans="3:10" ht="15.6">
      <c r="C33" s="569"/>
      <c r="D33" s="570"/>
      <c r="E33" s="576"/>
      <c r="F33" s="577"/>
      <c r="G33" s="578"/>
      <c r="H33" s="577"/>
      <c r="I33" s="578"/>
      <c r="J33" s="573"/>
    </row>
    <row r="34" spans="3:10" ht="16.2" thickBot="1">
      <c r="C34" s="591" t="s">
        <v>2313</v>
      </c>
      <c r="D34" s="570"/>
      <c r="E34" s="576"/>
      <c r="F34" s="577"/>
      <c r="G34" s="578"/>
      <c r="H34" s="577"/>
      <c r="I34" s="582" t="e">
        <f>I31-I32</f>
        <v>#REF!</v>
      </c>
      <c r="J34" s="573"/>
    </row>
    <row r="35" spans="3:10" ht="16.2" thickTop="1">
      <c r="C35" s="592"/>
      <c r="D35" s="593"/>
      <c r="E35" s="594"/>
      <c r="F35" s="595"/>
      <c r="G35" s="596"/>
      <c r="H35" s="595"/>
      <c r="I35" s="597"/>
      <c r="J35" s="598"/>
    </row>
    <row r="36" spans="3:10" ht="15.6">
      <c r="C36" s="575"/>
      <c r="D36" s="570"/>
      <c r="E36" s="576"/>
      <c r="F36" s="577"/>
      <c r="G36" s="578"/>
      <c r="H36" s="577"/>
      <c r="I36" s="572"/>
      <c r="J36" s="573"/>
    </row>
    <row r="37" spans="3:10" ht="15.6">
      <c r="C37" s="575" t="s">
        <v>2314</v>
      </c>
      <c r="D37" s="576"/>
      <c r="E37" s="576"/>
      <c r="F37" s="577"/>
      <c r="G37" s="578"/>
      <c r="H37" s="577"/>
      <c r="I37" s="573"/>
      <c r="J37" s="573"/>
    </row>
    <row r="38" spans="3:10" ht="15.6">
      <c r="C38" s="599" t="s">
        <v>2315</v>
      </c>
      <c r="D38" s="600" t="s">
        <v>2316</v>
      </c>
      <c r="E38" s="565"/>
      <c r="F38" s="601"/>
      <c r="G38" s="602"/>
      <c r="H38" s="601"/>
      <c r="I38" s="603" t="e">
        <f>J39</f>
        <v>#REF!</v>
      </c>
      <c r="J38" s="604"/>
    </row>
    <row r="39" spans="3:10" ht="15.6">
      <c r="C39" s="605" t="s">
        <v>2317</v>
      </c>
      <c r="D39" s="606"/>
      <c r="E39" s="606"/>
      <c r="F39" s="607"/>
      <c r="G39" s="608"/>
      <c r="H39" s="607"/>
      <c r="I39" s="609"/>
      <c r="J39" s="610" t="e">
        <f>I34</f>
        <v>#REF!</v>
      </c>
    </row>
  </sheetData>
  <mergeCells count="3">
    <mergeCell ref="C2:J2"/>
    <mergeCell ref="C4:J4"/>
    <mergeCell ref="C6:J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P54"/>
  <sheetViews>
    <sheetView view="pageBreakPreview" zoomScale="115" zoomScaleNormal="130" zoomScaleSheetLayoutView="115" workbookViewId="0">
      <selection activeCell="I33" sqref="I33"/>
    </sheetView>
  </sheetViews>
  <sheetFormatPr defaultColWidth="9.109375" defaultRowHeight="14.4"/>
  <cols>
    <col min="2" max="2" width="34.5546875" bestFit="1" customWidth="1"/>
    <col min="3" max="3" width="9.5546875" customWidth="1"/>
    <col min="4" max="4" width="13.44140625" bestFit="1" customWidth="1"/>
    <col min="5" max="5" width="13.6640625" bestFit="1" customWidth="1"/>
    <col min="6" max="6" width="11.44140625" bestFit="1" customWidth="1"/>
    <col min="7" max="7" width="18.44140625" bestFit="1" customWidth="1"/>
    <col min="8" max="8" width="16.5546875" bestFit="1" customWidth="1"/>
    <col min="9" max="9" width="18.44140625" bestFit="1" customWidth="1"/>
    <col min="12" max="12" width="10.33203125" bestFit="1" customWidth="1"/>
    <col min="14" max="14" width="10" bestFit="1" customWidth="1"/>
    <col min="15" max="15" width="10" customWidth="1"/>
  </cols>
  <sheetData>
    <row r="1" spans="2:14">
      <c r="G1" s="3"/>
      <c r="I1" s="3"/>
    </row>
    <row r="2" spans="2:14">
      <c r="G2" s="3"/>
      <c r="I2" s="3"/>
    </row>
    <row r="3" spans="2:14">
      <c r="B3" s="2406" t="s">
        <v>2146</v>
      </c>
      <c r="C3" s="2406"/>
      <c r="D3" s="2406"/>
      <c r="E3" s="2406"/>
      <c r="F3" s="2406"/>
      <c r="G3" s="2406"/>
      <c r="I3" s="3"/>
    </row>
    <row r="4" spans="2:14">
      <c r="B4" s="387"/>
      <c r="C4" s="387"/>
      <c r="D4" s="387"/>
      <c r="E4" s="387"/>
      <c r="F4" s="387"/>
      <c r="G4" s="388"/>
      <c r="I4" s="389"/>
    </row>
    <row r="5" spans="2:14">
      <c r="B5" s="2406" t="s">
        <v>2181</v>
      </c>
      <c r="C5" s="2406"/>
      <c r="D5" s="2406"/>
      <c r="E5" s="2406"/>
      <c r="F5" s="2406"/>
      <c r="G5" s="2406"/>
      <c r="I5" s="3"/>
    </row>
    <row r="6" spans="2:14">
      <c r="B6" s="390" t="s">
        <v>2147</v>
      </c>
      <c r="C6" s="391"/>
      <c r="D6" s="391"/>
      <c r="E6" s="392" t="s">
        <v>991</v>
      </c>
      <c r="F6" s="391"/>
      <c r="G6" s="392" t="s">
        <v>991</v>
      </c>
      <c r="H6" t="s">
        <v>2170</v>
      </c>
      <c r="I6" s="3" t="s">
        <v>992</v>
      </c>
      <c r="M6" t="s">
        <v>2148</v>
      </c>
    </row>
    <row r="7" spans="2:14">
      <c r="B7" s="394" t="s">
        <v>2149</v>
      </c>
      <c r="C7" s="395"/>
      <c r="D7" s="396"/>
      <c r="E7" s="397"/>
      <c r="F7" s="398" t="s">
        <v>2150</v>
      </c>
      <c r="G7" s="399">
        <v>33880.254000000001</v>
      </c>
      <c r="H7" s="400">
        <v>8204.357</v>
      </c>
      <c r="I7" s="400">
        <v>32626.841</v>
      </c>
      <c r="M7" t="s">
        <v>2124</v>
      </c>
      <c r="N7">
        <f>2385259+37470996+2927083</f>
        <v>42783338</v>
      </c>
    </row>
    <row r="8" spans="2:14">
      <c r="B8" s="401" t="s">
        <v>2151</v>
      </c>
      <c r="C8" s="402"/>
      <c r="D8" s="403"/>
      <c r="E8" s="404" t="s">
        <v>2152</v>
      </c>
      <c r="F8" s="405"/>
      <c r="G8" s="406" t="s">
        <v>2152</v>
      </c>
      <c r="H8" s="406" t="s">
        <v>2152</v>
      </c>
      <c r="I8" s="406" t="s">
        <v>2152</v>
      </c>
      <c r="M8" t="s">
        <v>1214</v>
      </c>
      <c r="N8">
        <f>12902845+38522473+172209946</f>
        <v>223635264</v>
      </c>
    </row>
    <row r="9" spans="2:14">
      <c r="B9" s="407" t="s">
        <v>2153</v>
      </c>
      <c r="C9" s="408"/>
      <c r="D9" s="409"/>
      <c r="E9" s="410">
        <f>BSPL!G484</f>
        <v>815123705.66636157</v>
      </c>
      <c r="F9" s="411"/>
      <c r="G9" s="412">
        <f>E9-F9</f>
        <v>815123705.66636157</v>
      </c>
      <c r="H9" s="413"/>
      <c r="I9" s="414">
        <f>+BSPL!H484</f>
        <v>866942160.29999995</v>
      </c>
      <c r="M9" t="s">
        <v>1215</v>
      </c>
      <c r="N9">
        <f>6473641+14050975+2975248</f>
        <v>23499864</v>
      </c>
    </row>
    <row r="10" spans="2:14">
      <c r="B10" s="415" t="s">
        <v>2154</v>
      </c>
      <c r="C10" s="416"/>
      <c r="D10" s="417"/>
      <c r="E10" s="418">
        <f>+BSPL!G490</f>
        <v>15862269</v>
      </c>
      <c r="F10" s="419"/>
      <c r="G10" s="420">
        <f t="shared" ref="G10:G26" si="0">E10-F10</f>
        <v>15862269</v>
      </c>
      <c r="H10" s="413"/>
      <c r="I10" s="414">
        <f>+BSPL!H490</f>
        <v>21904975</v>
      </c>
      <c r="N10">
        <f>+N7+N8-N9</f>
        <v>242918738</v>
      </c>
    </row>
    <row r="11" spans="2:14">
      <c r="B11" s="415" t="s">
        <v>1217</v>
      </c>
      <c r="C11" s="416"/>
      <c r="D11" s="417"/>
      <c r="E11" s="418">
        <f>+BSPL!G505</f>
        <v>184386383.23999998</v>
      </c>
      <c r="F11" s="419"/>
      <c r="G11" s="420">
        <f t="shared" si="0"/>
        <v>184386383.23999998</v>
      </c>
      <c r="H11" s="413"/>
      <c r="I11" s="414">
        <f>+BSPL!H505</f>
        <v>140580439.34</v>
      </c>
    </row>
    <row r="12" spans="2:14">
      <c r="B12" s="415" t="s">
        <v>2155</v>
      </c>
      <c r="C12" s="416"/>
      <c r="D12" s="417"/>
      <c r="E12" s="418"/>
      <c r="F12" s="419"/>
      <c r="G12" s="420">
        <f t="shared" si="0"/>
        <v>0</v>
      </c>
      <c r="H12" s="413"/>
      <c r="I12" s="414"/>
    </row>
    <row r="13" spans="2:14">
      <c r="B13" s="415" t="s">
        <v>2156</v>
      </c>
      <c r="C13" s="416"/>
      <c r="D13" s="417"/>
      <c r="E13" s="418">
        <f>+BSPL!G510</f>
        <v>905691</v>
      </c>
      <c r="F13" s="419"/>
      <c r="G13" s="420">
        <f t="shared" si="0"/>
        <v>905691</v>
      </c>
      <c r="H13" s="413"/>
      <c r="I13" s="414">
        <f>+BSPL!H510</f>
        <v>783594</v>
      </c>
    </row>
    <row r="14" spans="2:14">
      <c r="B14" s="415" t="s">
        <v>2157</v>
      </c>
      <c r="C14" s="416"/>
      <c r="D14" s="417"/>
      <c r="E14" s="418">
        <f>+BSPL!G511</f>
        <v>13069555.939999998</v>
      </c>
      <c r="F14" s="419"/>
      <c r="G14" s="420">
        <f t="shared" si="0"/>
        <v>13069555.939999998</v>
      </c>
      <c r="H14" s="413"/>
      <c r="I14" s="414">
        <f>+BSPL!H511</f>
        <v>17105048.670000002</v>
      </c>
    </row>
    <row r="15" spans="2:14">
      <c r="B15" s="415" t="s">
        <v>2158</v>
      </c>
      <c r="C15" s="416"/>
      <c r="D15" s="417"/>
      <c r="E15" s="418">
        <f>+BSPL!G504</f>
        <v>10990341.880000001</v>
      </c>
      <c r="F15" s="419"/>
      <c r="G15" s="420">
        <f t="shared" si="0"/>
        <v>10990341.880000001</v>
      </c>
      <c r="H15" s="413"/>
      <c r="I15" s="414">
        <f>+BSPL!H504</f>
        <v>9075854.2200000007</v>
      </c>
    </row>
    <row r="16" spans="2:14">
      <c r="B16" s="415" t="s">
        <v>2159</v>
      </c>
      <c r="C16" s="416"/>
      <c r="D16" s="417"/>
      <c r="E16" s="418">
        <f>+BSPL!G508</f>
        <v>6859174.04</v>
      </c>
      <c r="F16" s="419"/>
      <c r="G16" s="420">
        <f t="shared" si="0"/>
        <v>6859174.04</v>
      </c>
      <c r="H16" s="413"/>
      <c r="I16" s="414">
        <f>+BSPL!H508</f>
        <v>6320421.9900000002</v>
      </c>
    </row>
    <row r="17" spans="2:9">
      <c r="B17" s="415" t="s">
        <v>2160</v>
      </c>
      <c r="C17" s="416"/>
      <c r="D17" s="417"/>
      <c r="E17" s="418">
        <f>+BSPL!G502</f>
        <v>4847155.45</v>
      </c>
      <c r="F17" s="419"/>
      <c r="G17" s="420">
        <f t="shared" si="0"/>
        <v>4847155.45</v>
      </c>
      <c r="H17" s="413"/>
      <c r="I17" s="414">
        <f>+BSPL!H502</f>
        <v>5119183</v>
      </c>
    </row>
    <row r="18" spans="2:9">
      <c r="B18" s="415" t="str">
        <f>'[83]Balance Sheet'!B538</f>
        <v>Raw Material Sorting Charges</v>
      </c>
      <c r="C18" s="416"/>
      <c r="D18" s="417"/>
      <c r="E18" s="418">
        <f>+BSPL!G506</f>
        <v>3368785</v>
      </c>
      <c r="F18" s="419"/>
      <c r="G18" s="420">
        <f t="shared" si="0"/>
        <v>3368785</v>
      </c>
      <c r="H18" s="413"/>
      <c r="I18" s="414">
        <f>+BSPL!H506</f>
        <v>4044390</v>
      </c>
    </row>
    <row r="19" spans="2:9">
      <c r="B19" s="415" t="str">
        <f>'[83]Balance Sheet'!B541</f>
        <v>Finished Goods Packing and Allied Charges</v>
      </c>
      <c r="C19" s="391"/>
      <c r="D19" s="421"/>
      <c r="E19" s="418">
        <f>+BSPL!G503</f>
        <v>2829820</v>
      </c>
      <c r="F19" s="422"/>
      <c r="G19" s="420">
        <f t="shared" si="0"/>
        <v>2829820</v>
      </c>
      <c r="H19" s="413"/>
      <c r="I19" s="414">
        <f>+BSPL!H503</f>
        <v>3282001</v>
      </c>
    </row>
    <row r="20" spans="2:9">
      <c r="B20" s="415" t="s">
        <v>2161</v>
      </c>
      <c r="C20" s="391"/>
      <c r="D20" s="421"/>
      <c r="E20" s="418">
        <f>+BSPL!G512</f>
        <v>4829408</v>
      </c>
      <c r="F20" s="422"/>
      <c r="G20" s="420">
        <f t="shared" si="0"/>
        <v>4829408</v>
      </c>
      <c r="H20" s="413"/>
      <c r="I20" s="414">
        <f>+BSPL!H512</f>
        <v>6303933</v>
      </c>
    </row>
    <row r="21" spans="2:9">
      <c r="B21" s="415" t="s">
        <v>144</v>
      </c>
      <c r="C21" s="416"/>
      <c r="D21" s="417"/>
      <c r="E21" s="418">
        <f>+BSPL!G86</f>
        <v>18081667</v>
      </c>
      <c r="F21" s="419"/>
      <c r="G21" s="420">
        <f t="shared" si="0"/>
        <v>18081667</v>
      </c>
      <c r="H21" s="413"/>
      <c r="I21" s="414">
        <f>+BSPL!H86</f>
        <v>17957748.491325565</v>
      </c>
    </row>
    <row r="22" spans="2:9">
      <c r="B22" s="423" t="s">
        <v>2162</v>
      </c>
      <c r="C22" s="391"/>
      <c r="D22" s="421"/>
      <c r="E22" s="418"/>
      <c r="F22" s="422"/>
      <c r="G22" s="420">
        <f t="shared" si="0"/>
        <v>0</v>
      </c>
      <c r="H22" s="413"/>
      <c r="I22" s="414"/>
    </row>
    <row r="23" spans="2:9">
      <c r="B23" s="415" t="str">
        <f>'[83]Balance Sheet'!B519</f>
        <v>Contribution to Funds</v>
      </c>
      <c r="C23" s="391"/>
      <c r="D23" s="421"/>
      <c r="E23" s="418">
        <f>+BSPL!G491</f>
        <v>2416943</v>
      </c>
      <c r="F23" s="422"/>
      <c r="G23" s="420">
        <f t="shared" si="0"/>
        <v>2416943</v>
      </c>
      <c r="H23" s="413"/>
      <c r="I23" s="414">
        <f>+BSPL!H491</f>
        <v>2430498</v>
      </c>
    </row>
    <row r="24" spans="2:9">
      <c r="B24" s="415" t="s">
        <v>270</v>
      </c>
      <c r="C24" s="391"/>
      <c r="D24" s="421"/>
      <c r="E24" s="418">
        <f>+BSPL!G492</f>
        <v>194520</v>
      </c>
      <c r="F24" s="422"/>
      <c r="G24" s="420">
        <f t="shared" si="0"/>
        <v>194520</v>
      </c>
      <c r="H24" s="413"/>
      <c r="I24" s="414">
        <f>+BSPL!H492</f>
        <v>198462</v>
      </c>
    </row>
    <row r="25" spans="2:9">
      <c r="B25" s="415" t="s">
        <v>1137</v>
      </c>
      <c r="C25" s="391"/>
      <c r="D25" s="421"/>
      <c r="E25" s="418"/>
      <c r="F25" s="422"/>
      <c r="G25" s="420">
        <f t="shared" si="0"/>
        <v>0</v>
      </c>
      <c r="H25" s="413"/>
      <c r="I25" s="420"/>
    </row>
    <row r="26" spans="2:9">
      <c r="B26" s="415" t="s">
        <v>314</v>
      </c>
      <c r="C26" s="391"/>
      <c r="D26" s="421"/>
      <c r="E26" s="418">
        <f>-BSPL!G472</f>
        <v>-9443500</v>
      </c>
      <c r="F26" s="422"/>
      <c r="G26" s="418">
        <f t="shared" si="0"/>
        <v>-9443500</v>
      </c>
      <c r="H26" s="413"/>
      <c r="I26" s="418">
        <f>-BSPL!H472</f>
        <v>-9433000</v>
      </c>
    </row>
    <row r="27" spans="2:9">
      <c r="B27" s="415"/>
      <c r="C27" s="391"/>
      <c r="D27" s="421"/>
      <c r="E27" s="418"/>
      <c r="F27" s="422"/>
      <c r="G27" s="420"/>
      <c r="H27" s="149"/>
      <c r="I27" s="420"/>
    </row>
    <row r="28" spans="2:9" ht="15" thickBot="1">
      <c r="B28" s="424" t="s">
        <v>911</v>
      </c>
      <c r="C28" s="425"/>
      <c r="D28" s="426"/>
      <c r="E28" s="427"/>
      <c r="F28" s="427"/>
      <c r="G28" s="428">
        <f>SUM(G9:G26)</f>
        <v>1074321919.2163615</v>
      </c>
      <c r="H28" s="428">
        <f>SUM(H9:H26)</f>
        <v>0</v>
      </c>
      <c r="I28" s="428">
        <f>SUM(I9:I26)</f>
        <v>1092615709.0113256</v>
      </c>
    </row>
    <row r="29" spans="2:9" ht="15" thickTop="1">
      <c r="B29" s="391"/>
      <c r="C29" s="429" t="s">
        <v>2163</v>
      </c>
      <c r="D29" s="391"/>
      <c r="E29" s="391"/>
      <c r="F29" s="391"/>
      <c r="G29" s="430">
        <f>G28/G7</f>
        <v>31709.382084808498</v>
      </c>
      <c r="H29" s="430">
        <f>ROUND(H28/H7,0)</f>
        <v>0</v>
      </c>
      <c r="I29" s="430">
        <f>I28/I7</f>
        <v>33488.246962411271</v>
      </c>
    </row>
    <row r="30" spans="2:9">
      <c r="B30" s="391"/>
      <c r="C30" s="391"/>
      <c r="D30" s="391"/>
      <c r="E30" s="391"/>
      <c r="F30" s="391"/>
      <c r="G30" s="393"/>
      <c r="I30" s="3"/>
    </row>
    <row r="31" spans="2:9">
      <c r="B31" s="391"/>
      <c r="C31" s="391"/>
      <c r="D31" s="391"/>
      <c r="E31" s="391"/>
      <c r="F31" s="391"/>
      <c r="G31" s="393">
        <v>0</v>
      </c>
      <c r="I31" s="3"/>
    </row>
    <row r="32" spans="2:9">
      <c r="B32" s="391"/>
      <c r="C32" s="391"/>
      <c r="D32" s="429" t="s">
        <v>2164</v>
      </c>
      <c r="E32" s="429">
        <f>+G29</f>
        <v>31709.382084808498</v>
      </c>
      <c r="F32" s="391"/>
      <c r="G32" s="430">
        <f>+'CLOSING STOCK 22-23'!N35</f>
        <v>592.61900000000003</v>
      </c>
      <c r="I32" s="430">
        <f>SUM(I29:I31)</f>
        <v>33488.246962411271</v>
      </c>
    </row>
    <row r="33" spans="2:16">
      <c r="B33" s="391"/>
      <c r="C33" s="429" t="s">
        <v>2165</v>
      </c>
      <c r="D33" s="391"/>
      <c r="E33" s="391"/>
      <c r="F33" s="391"/>
      <c r="G33" s="431"/>
      <c r="I33" s="430" t="e">
        <f>+#REF!</f>
        <v>#REF!</v>
      </c>
    </row>
    <row r="34" spans="2:16">
      <c r="B34" s="391"/>
      <c r="C34" s="391"/>
      <c r="D34" s="391"/>
      <c r="E34" s="391"/>
      <c r="F34" s="391"/>
      <c r="G34" s="393"/>
      <c r="I34" s="393"/>
    </row>
    <row r="35" spans="2:16">
      <c r="B35" s="391"/>
      <c r="C35" s="429" t="s">
        <v>2166</v>
      </c>
      <c r="D35" s="391"/>
      <c r="E35" s="432"/>
      <c r="F35" s="391"/>
      <c r="G35" s="430">
        <f>+G29*G32</f>
        <v>18791582.301717129</v>
      </c>
      <c r="I35" s="433" t="e">
        <f>I32*I33</f>
        <v>#REF!</v>
      </c>
    </row>
    <row r="36" spans="2:16">
      <c r="B36" s="391"/>
      <c r="C36" s="391"/>
      <c r="D36" s="391"/>
      <c r="E36" s="391"/>
      <c r="F36" s="391"/>
      <c r="G36" s="393"/>
      <c r="I36" s="3"/>
    </row>
    <row r="37" spans="2:16">
      <c r="B37" s="391"/>
      <c r="C37" s="391" t="s">
        <v>2167</v>
      </c>
      <c r="D37" s="391"/>
      <c r="E37" s="391"/>
      <c r="F37" s="391"/>
      <c r="G37" s="393">
        <f>+G54</f>
        <v>16465227</v>
      </c>
      <c r="H37" s="633">
        <f>+G37-F37</f>
        <v>16465227</v>
      </c>
      <c r="I37" s="3"/>
    </row>
    <row r="38" spans="2:16">
      <c r="B38" s="391"/>
      <c r="C38" s="391"/>
      <c r="D38" s="391"/>
      <c r="E38" s="391"/>
      <c r="F38" s="391"/>
      <c r="G38" s="393"/>
      <c r="I38" s="3"/>
    </row>
    <row r="39" spans="2:16">
      <c r="B39" s="391"/>
      <c r="C39" s="763" t="s">
        <v>2168</v>
      </c>
      <c r="D39" s="764"/>
      <c r="E39" s="764"/>
      <c r="F39" s="764"/>
      <c r="G39" s="765">
        <f>+IF(G35&gt;G37,G37,G35)</f>
        <v>16465227</v>
      </c>
      <c r="I39" s="3"/>
    </row>
    <row r="40" spans="2:16">
      <c r="G40" s="3"/>
      <c r="I40" s="3"/>
    </row>
    <row r="41" spans="2:16">
      <c r="G41" s="3"/>
    </row>
    <row r="42" spans="2:16">
      <c r="D42" s="2283" t="s">
        <v>2180</v>
      </c>
      <c r="E42" s="2283"/>
      <c r="F42" s="2283"/>
      <c r="G42" s="2283"/>
      <c r="K42" s="152"/>
      <c r="L42" s="152" t="s">
        <v>2246</v>
      </c>
      <c r="M42" s="152" t="s">
        <v>2247</v>
      </c>
      <c r="N42" s="152" t="s">
        <v>2248</v>
      </c>
      <c r="O42" s="152" t="s">
        <v>2251</v>
      </c>
      <c r="P42" s="152" t="s">
        <v>2249</v>
      </c>
    </row>
    <row r="43" spans="2:16">
      <c r="D43" s="147"/>
      <c r="E43" s="505" t="s">
        <v>2252</v>
      </c>
      <c r="F43" s="505" t="s">
        <v>2169</v>
      </c>
      <c r="G43" s="508" t="s">
        <v>2152</v>
      </c>
      <c r="K43" s="152" t="s">
        <v>2171</v>
      </c>
      <c r="L43" s="152">
        <v>28.25</v>
      </c>
      <c r="M43" s="152">
        <v>28.5</v>
      </c>
      <c r="N43" s="152">
        <v>27.25</v>
      </c>
      <c r="O43" s="152"/>
      <c r="P43" s="152">
        <f>+AVERAGE(L43:O43)</f>
        <v>28</v>
      </c>
    </row>
    <row r="44" spans="2:16">
      <c r="D44" s="152" t="s">
        <v>2171</v>
      </c>
      <c r="E44" s="506">
        <v>220705</v>
      </c>
      <c r="F44" s="506">
        <f t="shared" ref="F44:F51" si="1">+P43</f>
        <v>28</v>
      </c>
      <c r="G44" s="506">
        <f>+ROUND(F44*E44,0)</f>
        <v>6179740</v>
      </c>
      <c r="K44" s="152" t="s">
        <v>2172</v>
      </c>
      <c r="L44" s="152">
        <v>29.75</v>
      </c>
      <c r="M44" s="152">
        <v>28.75</v>
      </c>
      <c r="N44" s="152"/>
      <c r="O44" s="152"/>
      <c r="P44" s="152">
        <f t="shared" ref="P44:P52" si="2">+AVERAGE(L44:O44)</f>
        <v>29.25</v>
      </c>
    </row>
    <row r="45" spans="2:16">
      <c r="D45" s="152" t="s">
        <v>2172</v>
      </c>
      <c r="E45" s="506">
        <v>21884</v>
      </c>
      <c r="F45" s="506">
        <f t="shared" si="1"/>
        <v>29.25</v>
      </c>
      <c r="G45" s="506">
        <f t="shared" ref="G45:G53" si="3">+ROUND(F45*E45,0)</f>
        <v>640107</v>
      </c>
      <c r="K45" s="152" t="s">
        <v>2173</v>
      </c>
      <c r="L45" s="152">
        <v>24.5</v>
      </c>
      <c r="M45" s="152">
        <v>26.25</v>
      </c>
      <c r="N45" s="152">
        <v>28.25</v>
      </c>
      <c r="O45" s="152">
        <v>28.35</v>
      </c>
      <c r="P45" s="152">
        <f t="shared" si="2"/>
        <v>26.837499999999999</v>
      </c>
    </row>
    <row r="46" spans="2:16">
      <c r="D46" s="152" t="s">
        <v>2173</v>
      </c>
      <c r="E46" s="506">
        <v>144398</v>
      </c>
      <c r="F46" s="506">
        <f t="shared" si="1"/>
        <v>26.837499999999999</v>
      </c>
      <c r="G46" s="506">
        <f t="shared" si="3"/>
        <v>3875281</v>
      </c>
      <c r="K46" s="152" t="s">
        <v>2245</v>
      </c>
      <c r="L46" s="152">
        <v>28.25</v>
      </c>
      <c r="M46" s="152"/>
      <c r="N46" s="152"/>
      <c r="O46" s="152"/>
      <c r="P46" s="152">
        <f t="shared" si="2"/>
        <v>28.25</v>
      </c>
    </row>
    <row r="47" spans="2:16">
      <c r="D47" s="152" t="s">
        <v>2245</v>
      </c>
      <c r="E47" s="506">
        <v>21771</v>
      </c>
      <c r="F47" s="506">
        <f t="shared" si="1"/>
        <v>28.25</v>
      </c>
      <c r="G47" s="506">
        <f t="shared" si="3"/>
        <v>615031</v>
      </c>
      <c r="K47" s="152" t="s">
        <v>2174</v>
      </c>
      <c r="L47" s="152">
        <v>28.25</v>
      </c>
      <c r="M47" s="152"/>
      <c r="N47" s="152"/>
      <c r="O47" s="152"/>
      <c r="P47" s="152">
        <f t="shared" si="2"/>
        <v>28.25</v>
      </c>
    </row>
    <row r="48" spans="2:16">
      <c r="D48" s="152" t="s">
        <v>2174</v>
      </c>
      <c r="E48" s="506">
        <v>52744</v>
      </c>
      <c r="F48" s="506">
        <f t="shared" si="1"/>
        <v>28.25</v>
      </c>
      <c r="G48" s="506">
        <f t="shared" si="3"/>
        <v>1490018</v>
      </c>
      <c r="K48" s="152" t="s">
        <v>2175</v>
      </c>
      <c r="L48" s="152">
        <v>29.85</v>
      </c>
      <c r="M48" s="152">
        <v>31.35</v>
      </c>
      <c r="N48" s="152"/>
      <c r="O48" s="152"/>
      <c r="P48" s="152">
        <f t="shared" si="2"/>
        <v>30.6</v>
      </c>
    </row>
    <row r="49" spans="4:16">
      <c r="D49" s="152" t="s">
        <v>2175</v>
      </c>
      <c r="E49" s="506">
        <v>69020</v>
      </c>
      <c r="F49" s="506">
        <f t="shared" si="1"/>
        <v>30.6</v>
      </c>
      <c r="G49" s="506">
        <f t="shared" si="3"/>
        <v>2112012</v>
      </c>
      <c r="K49" s="152" t="s">
        <v>2176</v>
      </c>
      <c r="L49" s="152">
        <v>24</v>
      </c>
      <c r="M49" s="152">
        <v>31.35</v>
      </c>
      <c r="N49" s="152"/>
      <c r="O49" s="152"/>
      <c r="P49" s="152">
        <f t="shared" si="2"/>
        <v>27.675000000000001</v>
      </c>
    </row>
    <row r="50" spans="4:16">
      <c r="D50" s="152" t="s">
        <v>2176</v>
      </c>
      <c r="E50" s="506">
        <v>56117</v>
      </c>
      <c r="F50" s="506">
        <f t="shared" si="1"/>
        <v>27.675000000000001</v>
      </c>
      <c r="G50" s="506">
        <f t="shared" si="3"/>
        <v>1553038</v>
      </c>
      <c r="K50" s="152" t="s">
        <v>2177</v>
      </c>
      <c r="L50" s="152">
        <v>28.25</v>
      </c>
      <c r="M50" s="152"/>
      <c r="N50" s="152"/>
      <c r="O50" s="152"/>
      <c r="P50" s="152">
        <f t="shared" si="2"/>
        <v>28.25</v>
      </c>
    </row>
    <row r="51" spans="4:16">
      <c r="D51" s="152" t="s">
        <v>2177</v>
      </c>
      <c r="E51" s="506">
        <v>4009</v>
      </c>
      <c r="F51" s="506">
        <f t="shared" si="1"/>
        <v>28.25</v>
      </c>
      <c r="G51" s="506">
        <f t="shared" si="3"/>
        <v>113254</v>
      </c>
      <c r="K51" s="152" t="s">
        <v>2178</v>
      </c>
      <c r="L51" s="152"/>
      <c r="M51" s="152"/>
      <c r="N51" s="152"/>
      <c r="O51" s="152"/>
      <c r="P51" s="152" t="e">
        <f t="shared" si="2"/>
        <v>#DIV/0!</v>
      </c>
    </row>
    <row r="52" spans="4:16">
      <c r="D52" s="152" t="s">
        <v>2178</v>
      </c>
      <c r="E52" s="506">
        <v>234</v>
      </c>
      <c r="F52" s="507">
        <v>30</v>
      </c>
      <c r="G52" s="506">
        <f t="shared" si="3"/>
        <v>7020</v>
      </c>
      <c r="K52" s="152" t="s">
        <v>2179</v>
      </c>
      <c r="L52" s="152">
        <v>34.1</v>
      </c>
      <c r="M52" s="152"/>
      <c r="N52" s="152"/>
      <c r="O52" s="152"/>
      <c r="P52" s="152">
        <f t="shared" si="2"/>
        <v>34.1</v>
      </c>
    </row>
    <row r="53" spans="4:16">
      <c r="D53" s="152" t="s">
        <v>2179</v>
      </c>
      <c r="E53" s="506">
        <v>1737</v>
      </c>
      <c r="F53" s="506">
        <f>+P52</f>
        <v>34.1</v>
      </c>
      <c r="G53" s="506">
        <f t="shared" si="3"/>
        <v>59232</v>
      </c>
    </row>
    <row r="54" spans="4:16" s="151" customFormat="1">
      <c r="D54" s="147" t="s">
        <v>911</v>
      </c>
      <c r="E54" s="150">
        <f>SUM(E44:E53)</f>
        <v>592619</v>
      </c>
      <c r="F54" s="150">
        <f>+G54/E54</f>
        <v>27.783832445466651</v>
      </c>
      <c r="G54" s="150">
        <f>+SUM(G44:G50)</f>
        <v>16465227</v>
      </c>
    </row>
  </sheetData>
  <mergeCells count="3">
    <mergeCell ref="B3:G3"/>
    <mergeCell ref="B5:G5"/>
    <mergeCell ref="D42:G42"/>
  </mergeCells>
  <pageMargins left="0.7" right="0.7" top="0.75" bottom="0.75" header="0.3" footer="0.3"/>
  <pageSetup paperSize="9" scale="60" orientation="portrait" horizontalDpi="4294967293"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E56"/>
  <sheetViews>
    <sheetView topLeftCell="D22" zoomScale="80" zoomScaleNormal="80" workbookViewId="0">
      <selection activeCell="H46" sqref="H46"/>
    </sheetView>
  </sheetViews>
  <sheetFormatPr defaultColWidth="9" defaultRowHeight="14.4"/>
  <cols>
    <col min="1" max="1" width="1.33203125" style="163" customWidth="1"/>
    <col min="2" max="2" width="6.88671875" style="163" customWidth="1"/>
    <col min="3" max="3" width="28.33203125" style="163" customWidth="1"/>
    <col min="4" max="4" width="11.109375" style="163" customWidth="1"/>
    <col min="5" max="5" width="11.6640625" style="163" bestFit="1" customWidth="1"/>
    <col min="6" max="6" width="18.44140625" style="163" customWidth="1"/>
    <col min="7" max="7" width="15.33203125" style="163" bestFit="1" customWidth="1"/>
    <col min="8" max="9" width="17.33203125" style="163" customWidth="1"/>
    <col min="10" max="10" width="19.44140625" style="163" bestFit="1" customWidth="1"/>
    <col min="11" max="11" width="16.6640625" style="376" bestFit="1" customWidth="1"/>
    <col min="12" max="12" width="16.6640625" style="163" bestFit="1" customWidth="1"/>
    <col min="13" max="13" width="19.33203125" style="163" customWidth="1"/>
    <col min="14" max="14" width="13.6640625" style="376" bestFit="1" customWidth="1"/>
    <col min="15" max="15" width="16.6640625" style="163" bestFit="1" customWidth="1"/>
    <col min="16" max="16" width="18.88671875" style="163" customWidth="1"/>
    <col min="17" max="17" width="2.44140625" style="163" customWidth="1"/>
    <col min="18" max="18" width="12.33203125" style="164" bestFit="1" customWidth="1"/>
    <col min="19" max="19" width="12.6640625" style="164" bestFit="1" customWidth="1"/>
    <col min="20" max="20" width="26.44140625" style="164" bestFit="1" customWidth="1"/>
    <col min="21" max="21" width="12" style="164" bestFit="1" customWidth="1"/>
    <col min="22" max="22" width="12.6640625" style="164" bestFit="1" customWidth="1"/>
    <col min="23" max="23" width="22.44140625" style="164" bestFit="1" customWidth="1"/>
    <col min="24" max="24" width="16.6640625" style="163" bestFit="1" customWidth="1"/>
    <col min="25" max="25" width="22.6640625" style="163" bestFit="1" customWidth="1"/>
    <col min="26" max="26" width="14.109375" style="163" bestFit="1" customWidth="1"/>
    <col min="27" max="27" width="13.44140625" style="163" bestFit="1" customWidth="1"/>
    <col min="28" max="28" width="21.33203125" style="163" bestFit="1" customWidth="1"/>
    <col min="29" max="29" width="13.44140625" style="163" bestFit="1" customWidth="1"/>
    <col min="30" max="30" width="13.88671875" style="163" bestFit="1" customWidth="1"/>
    <col min="31" max="16384" width="9" style="163"/>
  </cols>
  <sheetData>
    <row r="1" spans="2:31" ht="23.4">
      <c r="B1" s="2407" t="s">
        <v>2065</v>
      </c>
      <c r="C1" s="2407"/>
      <c r="D1" s="2407"/>
      <c r="E1" s="2407"/>
      <c r="F1" s="2407"/>
      <c r="G1" s="2407"/>
      <c r="H1" s="2407"/>
      <c r="I1" s="2407"/>
      <c r="J1" s="2407"/>
      <c r="K1" s="2407"/>
      <c r="L1" s="2407"/>
      <c r="M1" s="2407"/>
      <c r="N1" s="2407"/>
      <c r="O1" s="2407"/>
      <c r="P1" s="2407"/>
    </row>
    <row r="2" spans="2:31" s="165" customFormat="1" ht="23.4">
      <c r="B2" s="2408" t="s">
        <v>2066</v>
      </c>
      <c r="C2" s="2408"/>
      <c r="D2" s="2408"/>
      <c r="E2" s="2408"/>
      <c r="F2" s="2408"/>
      <c r="G2" s="2408"/>
      <c r="H2" s="2408"/>
      <c r="I2" s="2408"/>
      <c r="J2" s="2408"/>
      <c r="K2" s="2408"/>
      <c r="L2" s="2408"/>
      <c r="M2" s="2408"/>
      <c r="N2" s="2408"/>
      <c r="O2" s="2408"/>
      <c r="P2" s="2408"/>
      <c r="R2" s="166"/>
      <c r="S2" s="166"/>
      <c r="T2" s="166"/>
      <c r="U2" s="166"/>
      <c r="V2" s="166"/>
      <c r="W2" s="166"/>
    </row>
    <row r="3" spans="2:31" s="165" customFormat="1" ht="15.6" hidden="1">
      <c r="B3" s="167"/>
      <c r="C3" s="167"/>
      <c r="D3" s="167"/>
      <c r="E3" s="167"/>
      <c r="F3" s="167"/>
      <c r="G3" s="167"/>
      <c r="H3" s="167"/>
      <c r="I3" s="167"/>
      <c r="J3" s="167"/>
      <c r="K3" s="168"/>
      <c r="L3" s="167"/>
      <c r="M3" s="167"/>
      <c r="N3" s="168"/>
      <c r="O3" s="167"/>
      <c r="P3" s="167"/>
      <c r="R3" s="166"/>
      <c r="S3" s="166"/>
      <c r="T3" s="166"/>
      <c r="U3" s="166"/>
      <c r="V3" s="166"/>
      <c r="W3" s="166"/>
    </row>
    <row r="4" spans="2:31" s="165" customFormat="1" ht="15.6" hidden="1">
      <c r="B4" s="167"/>
      <c r="C4" s="167"/>
      <c r="D4" s="167"/>
      <c r="E4" s="167"/>
      <c r="F4" s="167"/>
      <c r="G4" s="167"/>
      <c r="H4" s="167"/>
      <c r="I4" s="167"/>
      <c r="J4" s="167"/>
      <c r="K4" s="168"/>
      <c r="L4" s="167"/>
      <c r="M4" s="167"/>
      <c r="N4" s="168"/>
      <c r="O4" s="167"/>
      <c r="P4" s="167"/>
      <c r="R4" s="166"/>
      <c r="S4" s="166"/>
      <c r="T4" s="166"/>
      <c r="U4" s="166"/>
      <c r="V4" s="166"/>
      <c r="W4" s="166"/>
    </row>
    <row r="5" spans="2:31" s="165" customFormat="1" ht="15.6" hidden="1">
      <c r="B5" s="167"/>
      <c r="C5" s="167"/>
      <c r="D5" s="167"/>
      <c r="E5" s="167"/>
      <c r="F5" s="167"/>
      <c r="G5" s="2409"/>
      <c r="H5" s="2409"/>
      <c r="I5" s="2409"/>
      <c r="J5" s="2409"/>
      <c r="K5" s="168"/>
      <c r="L5" s="167"/>
      <c r="M5" s="167"/>
      <c r="N5" s="168"/>
      <c r="O5" s="167"/>
      <c r="P5" s="167"/>
      <c r="R5" s="166"/>
      <c r="S5" s="166"/>
      <c r="T5" s="166"/>
      <c r="U5" s="166"/>
      <c r="V5" s="166"/>
      <c r="W5" s="166"/>
    </row>
    <row r="6" spans="2:31" ht="16.2" thickBot="1">
      <c r="B6" s="167"/>
      <c r="C6" s="167"/>
      <c r="D6" s="167"/>
      <c r="E6" s="167"/>
      <c r="F6" s="167"/>
      <c r="G6" s="2409"/>
      <c r="H6" s="2409"/>
      <c r="I6" s="2409"/>
      <c r="J6" s="2409"/>
      <c r="K6" s="168"/>
      <c r="L6" s="167"/>
      <c r="M6" s="167"/>
      <c r="N6" s="168"/>
      <c r="O6" s="167"/>
      <c r="P6" s="167"/>
    </row>
    <row r="7" spans="2:31" ht="21.75" customHeight="1">
      <c r="B7" s="2410" t="s">
        <v>2067</v>
      </c>
      <c r="C7" s="2412" t="s">
        <v>0</v>
      </c>
      <c r="D7" s="2414" t="s">
        <v>2068</v>
      </c>
      <c r="E7" s="2415"/>
      <c r="F7" s="2416"/>
      <c r="G7" s="2414" t="s">
        <v>2069</v>
      </c>
      <c r="H7" s="2417"/>
      <c r="I7" s="2417"/>
      <c r="J7" s="2416"/>
      <c r="K7" s="2418" t="s">
        <v>2070</v>
      </c>
      <c r="L7" s="2415"/>
      <c r="M7" s="2416"/>
      <c r="N7" s="2414" t="s">
        <v>2071</v>
      </c>
      <c r="O7" s="2415"/>
      <c r="P7" s="2416"/>
      <c r="S7" s="164" t="s">
        <v>2072</v>
      </c>
    </row>
    <row r="8" spans="2:31" ht="30" customHeight="1" thickBot="1">
      <c r="B8" s="2411"/>
      <c r="C8" s="2413"/>
      <c r="D8" s="169" t="s">
        <v>2073</v>
      </c>
      <c r="E8" s="170" t="s">
        <v>2074</v>
      </c>
      <c r="F8" s="171" t="s">
        <v>2075</v>
      </c>
      <c r="G8" s="169" t="s">
        <v>2073</v>
      </c>
      <c r="H8" s="172" t="s">
        <v>2076</v>
      </c>
      <c r="I8" s="173" t="s">
        <v>2074</v>
      </c>
      <c r="J8" s="174" t="s">
        <v>2075</v>
      </c>
      <c r="K8" s="175" t="s">
        <v>2073</v>
      </c>
      <c r="L8" s="170" t="s">
        <v>2074</v>
      </c>
      <c r="M8" s="174" t="s">
        <v>2075</v>
      </c>
      <c r="N8" s="176" t="s">
        <v>2073</v>
      </c>
      <c r="O8" s="170" t="s">
        <v>2074</v>
      </c>
      <c r="P8" s="171" t="s">
        <v>2075</v>
      </c>
      <c r="S8" s="164" t="s">
        <v>2141</v>
      </c>
    </row>
    <row r="9" spans="2:31" s="189" customFormat="1" ht="22.5" customHeight="1" thickBot="1">
      <c r="B9" s="177" t="s">
        <v>2077</v>
      </c>
      <c r="C9" s="178" t="s">
        <v>2078</v>
      </c>
      <c r="D9" s="179">
        <v>220</v>
      </c>
      <c r="E9" s="180">
        <f>SUM(F9/D9)</f>
        <v>29425</v>
      </c>
      <c r="F9" s="181">
        <v>6473500</v>
      </c>
      <c r="G9" s="179">
        <v>25628.9</v>
      </c>
      <c r="H9" s="182"/>
      <c r="I9" s="183">
        <f>SUM(J9/G9)</f>
        <v>19499.506377565951</v>
      </c>
      <c r="J9" s="181">
        <v>499750899</v>
      </c>
      <c r="K9" s="184">
        <v>25732.9</v>
      </c>
      <c r="L9" s="183">
        <f>SUM(M9/K9)</f>
        <v>19604.704211340344</v>
      </c>
      <c r="M9" s="185">
        <v>504485893</v>
      </c>
      <c r="N9" s="186">
        <f>SUM(D9+G9-K9)</f>
        <v>116</v>
      </c>
      <c r="O9" s="187">
        <f>SUM(P9/N9)</f>
        <v>14987.120689655172</v>
      </c>
      <c r="P9" s="188">
        <f>SUM(F9+J9-M9)</f>
        <v>1738506</v>
      </c>
      <c r="R9" s="190"/>
      <c r="S9" s="190" t="s">
        <v>2079</v>
      </c>
      <c r="T9" s="190"/>
      <c r="U9" s="190"/>
      <c r="V9" s="190"/>
      <c r="W9" s="190"/>
    </row>
    <row r="10" spans="2:31" s="189" customFormat="1" ht="22.5" customHeight="1" thickBot="1">
      <c r="B10" s="191" t="s">
        <v>2080</v>
      </c>
      <c r="C10" s="192" t="s">
        <v>2081</v>
      </c>
      <c r="D10" s="193">
        <v>0</v>
      </c>
      <c r="E10" s="194">
        <v>0</v>
      </c>
      <c r="F10" s="195">
        <v>0</v>
      </c>
      <c r="G10" s="196">
        <v>206.46</v>
      </c>
      <c r="H10" s="197"/>
      <c r="I10" s="198">
        <f>SUM(J10/G10)</f>
        <v>10757.580160805966</v>
      </c>
      <c r="J10" s="199">
        <v>2221010</v>
      </c>
      <c r="K10" s="200">
        <v>206.46</v>
      </c>
      <c r="L10" s="201">
        <f>SUM(M10/K10)</f>
        <v>10757.580160805966</v>
      </c>
      <c r="M10" s="202">
        <v>2221010</v>
      </c>
      <c r="N10" s="203">
        <f>SUM(D10+G10-K10)</f>
        <v>0</v>
      </c>
      <c r="O10" s="204"/>
      <c r="P10" s="199">
        <f>SUM(F10+J10-M10)</f>
        <v>0</v>
      </c>
      <c r="R10" s="781" t="s">
        <v>2460</v>
      </c>
      <c r="S10" s="190"/>
      <c r="T10" s="190"/>
      <c r="U10" s="190"/>
      <c r="V10" s="190"/>
      <c r="W10" s="190"/>
    </row>
    <row r="11" spans="2:31" s="189" customFormat="1" ht="19.5" customHeight="1" thickBot="1">
      <c r="B11" s="191"/>
      <c r="C11" s="205" t="s">
        <v>911</v>
      </c>
      <c r="D11" s="206">
        <f>D9</f>
        <v>220</v>
      </c>
      <c r="E11" s="207"/>
      <c r="F11" s="208">
        <f>+F9</f>
        <v>6473500</v>
      </c>
      <c r="G11" s="209">
        <f>SUM(G9:G10)</f>
        <v>25835.360000000001</v>
      </c>
      <c r="H11" s="210"/>
      <c r="I11" s="210"/>
      <c r="J11" s="211">
        <f>SUM(J9:J10)</f>
        <v>501971909</v>
      </c>
      <c r="K11" s="212">
        <f>SUM(K9:K10)</f>
        <v>25939.360000000001</v>
      </c>
      <c r="L11" s="213"/>
      <c r="M11" s="214">
        <f>SUM(M9:M10)</f>
        <v>506706903</v>
      </c>
      <c r="N11" s="215">
        <f>SUM(D11+G11-K11)</f>
        <v>116</v>
      </c>
      <c r="O11" s="216">
        <f>+P11/N11</f>
        <v>14987.120689655172</v>
      </c>
      <c r="P11" s="208">
        <f>+P9</f>
        <v>1738506</v>
      </c>
      <c r="Q11" s="189">
        <f>F11+J11-M11</f>
        <v>1738506</v>
      </c>
      <c r="R11" s="190"/>
      <c r="S11" s="500" t="s">
        <v>2082</v>
      </c>
      <c r="T11" s="500" t="s">
        <v>532</v>
      </c>
      <c r="U11" s="500" t="s">
        <v>2083</v>
      </c>
      <c r="V11" s="500" t="s">
        <v>1214</v>
      </c>
      <c r="W11" s="500" t="s">
        <v>2084</v>
      </c>
      <c r="X11" s="500" t="s">
        <v>2238</v>
      </c>
      <c r="Y11" s="500" t="s">
        <v>2085</v>
      </c>
      <c r="Z11" s="500" t="s">
        <v>2086</v>
      </c>
      <c r="AA11" s="500" t="s">
        <v>2087</v>
      </c>
      <c r="AB11" s="500" t="s">
        <v>2088</v>
      </c>
      <c r="AC11" s="500" t="s">
        <v>2089</v>
      </c>
      <c r="AD11" s="500" t="s">
        <v>2090</v>
      </c>
    </row>
    <row r="12" spans="2:31" s="189" customFormat="1" ht="21.75" customHeight="1">
      <c r="B12" s="177" t="s">
        <v>2091</v>
      </c>
      <c r="C12" s="217" t="s">
        <v>2092</v>
      </c>
      <c r="D12" s="218">
        <v>148</v>
      </c>
      <c r="E12" s="180">
        <f t="shared" ref="E12:E17" si="0">SUM(F12/D12)</f>
        <v>27246.891891891893</v>
      </c>
      <c r="F12" s="181">
        <v>4032540</v>
      </c>
      <c r="G12" s="218"/>
      <c r="H12" s="219"/>
      <c r="I12" s="219"/>
      <c r="J12" s="220"/>
      <c r="K12" s="221"/>
      <c r="L12" s="222"/>
      <c r="M12" s="219"/>
      <c r="N12" s="223">
        <v>255</v>
      </c>
      <c r="O12" s="224">
        <f t="shared" ref="O12:O16" si="1">SUM(P12/N12)</f>
        <v>18902.707452359788</v>
      </c>
      <c r="P12" s="181">
        <f>+AC12</f>
        <v>4820190.400351746</v>
      </c>
      <c r="R12" s="190">
        <v>83.5</v>
      </c>
      <c r="S12" s="501">
        <v>45004</v>
      </c>
      <c r="T12" s="502" t="s">
        <v>2142</v>
      </c>
      <c r="U12" s="502">
        <v>258.70999999999998</v>
      </c>
      <c r="V12" s="502">
        <f>45791.67*R12</f>
        <v>3823604.4449999998</v>
      </c>
      <c r="W12" s="502">
        <v>943660</v>
      </c>
      <c r="X12" s="502">
        <f>105149+496+10000</f>
        <v>115645</v>
      </c>
      <c r="Y12" s="502">
        <v>7410</v>
      </c>
      <c r="Z12" s="502">
        <f>SUM(V12:Y12)</f>
        <v>4890319.4450000003</v>
      </c>
      <c r="AA12" s="502">
        <f>+Z12/U12</f>
        <v>18902.707452359788</v>
      </c>
      <c r="AB12" s="502">
        <v>255</v>
      </c>
      <c r="AC12" s="502">
        <f>+AA12*AB12</f>
        <v>4820190.400351746</v>
      </c>
      <c r="AD12" s="502">
        <f>+AC12-P12</f>
        <v>0</v>
      </c>
      <c r="AE12" s="189" t="s">
        <v>2459</v>
      </c>
    </row>
    <row r="13" spans="2:31" s="189" customFormat="1" ht="19.5" customHeight="1">
      <c r="B13" s="225"/>
      <c r="C13" s="226" t="s">
        <v>2092</v>
      </c>
      <c r="D13" s="227">
        <v>36</v>
      </c>
      <c r="E13" s="180">
        <f t="shared" si="0"/>
        <v>27237.305555555555</v>
      </c>
      <c r="F13" s="181">
        <v>980543</v>
      </c>
      <c r="G13" s="227"/>
      <c r="H13" s="228"/>
      <c r="I13" s="228"/>
      <c r="J13" s="229"/>
      <c r="K13" s="230"/>
      <c r="L13" s="231"/>
      <c r="M13" s="228"/>
      <c r="N13" s="232">
        <v>272</v>
      </c>
      <c r="O13" s="187">
        <f t="shared" si="1"/>
        <v>18052.317467652494</v>
      </c>
      <c r="P13" s="181">
        <f t="shared" ref="P13:P16" si="2">+AC13</f>
        <v>4910230.3512014784</v>
      </c>
      <c r="R13" s="190">
        <v>83.5</v>
      </c>
      <c r="S13" s="501">
        <v>45014</v>
      </c>
      <c r="T13" s="502" t="s">
        <v>2143</v>
      </c>
      <c r="U13" s="502">
        <v>302.95999999999998</v>
      </c>
      <c r="V13" s="502">
        <f>53018*R13</f>
        <v>4427003</v>
      </c>
      <c r="W13" s="502">
        <v>909510</v>
      </c>
      <c r="X13" s="502">
        <f>110675.1+11067+1578</f>
        <v>123320.1</v>
      </c>
      <c r="Y13" s="502">
        <v>9297</v>
      </c>
      <c r="Z13" s="502">
        <f>SUM(V13:Y13)</f>
        <v>5469130.0999999996</v>
      </c>
      <c r="AA13" s="502">
        <f>+Z13/U13</f>
        <v>18052.317467652494</v>
      </c>
      <c r="AB13" s="502">
        <v>272</v>
      </c>
      <c r="AC13" s="502">
        <f t="shared" ref="AC13:AC16" si="3">+AA13*AB13</f>
        <v>4910230.3512014784</v>
      </c>
      <c r="AD13" s="502">
        <f>+AC13-P13</f>
        <v>0</v>
      </c>
    </row>
    <row r="14" spans="2:31" s="189" customFormat="1" ht="21" customHeight="1">
      <c r="B14" s="225"/>
      <c r="C14" s="226" t="s">
        <v>2092</v>
      </c>
      <c r="D14" s="227">
        <v>124</v>
      </c>
      <c r="E14" s="180">
        <f t="shared" si="0"/>
        <v>27233.306451612902</v>
      </c>
      <c r="F14" s="181">
        <v>3376930</v>
      </c>
      <c r="G14" s="227"/>
      <c r="H14" s="228"/>
      <c r="I14" s="228"/>
      <c r="J14" s="229"/>
      <c r="K14" s="230"/>
      <c r="L14" s="231"/>
      <c r="M14" s="228"/>
      <c r="N14" s="232">
        <v>114</v>
      </c>
      <c r="O14" s="187">
        <f t="shared" si="1"/>
        <v>16520.029868925845</v>
      </c>
      <c r="P14" s="181">
        <f t="shared" si="2"/>
        <v>1883283.4050575464</v>
      </c>
      <c r="R14" s="190">
        <v>83.5</v>
      </c>
      <c r="S14" s="501">
        <v>45006</v>
      </c>
      <c r="T14" s="502" t="s">
        <v>2144</v>
      </c>
      <c r="U14" s="502">
        <v>257.79300000000001</v>
      </c>
      <c r="V14" s="502">
        <f>38153.36*R14</f>
        <v>3185805.56</v>
      </c>
      <c r="W14" s="502">
        <v>976102</v>
      </c>
      <c r="X14" s="502">
        <f>80721.4+8072.1+733</f>
        <v>89526.5</v>
      </c>
      <c r="Y14" s="502">
        <v>7314</v>
      </c>
      <c r="Z14" s="502">
        <f>SUM(V14:Y14)</f>
        <v>4258748.0600000005</v>
      </c>
      <c r="AA14" s="502">
        <f>+Z14/U14</f>
        <v>16520.029868925845</v>
      </c>
      <c r="AB14" s="502">
        <v>114</v>
      </c>
      <c r="AC14" s="502">
        <f t="shared" si="3"/>
        <v>1883283.4050575464</v>
      </c>
      <c r="AD14" s="502">
        <f>+AC14-P14</f>
        <v>0</v>
      </c>
    </row>
    <row r="15" spans="2:31" s="189" customFormat="1" ht="21" customHeight="1">
      <c r="B15" s="225"/>
      <c r="C15" s="226" t="s">
        <v>2092</v>
      </c>
      <c r="D15" s="227">
        <v>101</v>
      </c>
      <c r="E15" s="180">
        <f t="shared" si="0"/>
        <v>27164.376237623761</v>
      </c>
      <c r="F15" s="181">
        <v>2743602</v>
      </c>
      <c r="G15" s="227"/>
      <c r="H15" s="228"/>
      <c r="I15" s="228"/>
      <c r="J15" s="229"/>
      <c r="K15" s="230"/>
      <c r="L15" s="231"/>
      <c r="M15" s="228"/>
      <c r="N15" s="232">
        <v>71</v>
      </c>
      <c r="O15" s="187">
        <f t="shared" si="1"/>
        <v>17074.714650766608</v>
      </c>
      <c r="P15" s="181">
        <f t="shared" si="2"/>
        <v>1212304.740204429</v>
      </c>
      <c r="R15" s="190">
        <v>83.5</v>
      </c>
      <c r="S15" s="501">
        <v>45016</v>
      </c>
      <c r="T15" s="502" t="s">
        <v>2145</v>
      </c>
      <c r="U15" s="502">
        <v>234.8</v>
      </c>
      <c r="V15" s="502">
        <v>2940870</v>
      </c>
      <c r="W15" s="502">
        <v>979240</v>
      </c>
      <c r="X15" s="502">
        <f>73521.8+7352.2+1239</f>
        <v>82113</v>
      </c>
      <c r="Y15" s="502">
        <v>6920</v>
      </c>
      <c r="Z15" s="502">
        <f>SUM(V15:Y15)</f>
        <v>4009143</v>
      </c>
      <c r="AA15" s="502">
        <f>+Z15/U15</f>
        <v>17074.714650766608</v>
      </c>
      <c r="AB15" s="502">
        <v>71</v>
      </c>
      <c r="AC15" s="502">
        <f t="shared" si="3"/>
        <v>1212304.740204429</v>
      </c>
      <c r="AD15" s="502">
        <f>+AC15-P15</f>
        <v>0</v>
      </c>
    </row>
    <row r="16" spans="2:31" s="189" customFormat="1" ht="18.75" customHeight="1">
      <c r="B16" s="225"/>
      <c r="C16" s="226" t="s">
        <v>2092</v>
      </c>
      <c r="D16" s="227">
        <v>90</v>
      </c>
      <c r="E16" s="180">
        <f t="shared" si="0"/>
        <v>24647.766666666666</v>
      </c>
      <c r="F16" s="181">
        <v>2218299</v>
      </c>
      <c r="G16" s="227"/>
      <c r="H16" s="228"/>
      <c r="I16" s="228"/>
      <c r="J16" s="229"/>
      <c r="K16" s="230"/>
      <c r="L16" s="231"/>
      <c r="M16" s="228"/>
      <c r="N16" s="232">
        <v>24.3</v>
      </c>
      <c r="O16" s="187">
        <f t="shared" si="1"/>
        <v>16158.448354768663</v>
      </c>
      <c r="P16" s="181">
        <f t="shared" si="2"/>
        <v>392650.29502087855</v>
      </c>
      <c r="R16" s="190">
        <v>83.71</v>
      </c>
      <c r="S16" s="501">
        <v>45016</v>
      </c>
      <c r="T16" s="502" t="s">
        <v>2145</v>
      </c>
      <c r="U16" s="502">
        <v>239.48</v>
      </c>
      <c r="V16" s="502">
        <f>33527.2*83.71</f>
        <v>2806561.9119999995</v>
      </c>
      <c r="W16" s="502">
        <v>978740</v>
      </c>
      <c r="X16" s="502">
        <f>70155.7+7015.6+455</f>
        <v>77626.3</v>
      </c>
      <c r="Y16" s="502">
        <v>6697</v>
      </c>
      <c r="Z16" s="502">
        <f>SUM(V16:Y16)</f>
        <v>3869625.2119999994</v>
      </c>
      <c r="AA16" s="502">
        <f>+Z16/U16</f>
        <v>16158.448354768663</v>
      </c>
      <c r="AB16" s="502">
        <v>24.3</v>
      </c>
      <c r="AC16" s="502">
        <f t="shared" si="3"/>
        <v>392650.29502087855</v>
      </c>
      <c r="AD16" s="502">
        <f>+AC16-P16</f>
        <v>0</v>
      </c>
    </row>
    <row r="17" spans="2:29" s="189" customFormat="1" ht="18.75" customHeight="1">
      <c r="B17" s="225"/>
      <c r="C17" s="226" t="s">
        <v>2092</v>
      </c>
      <c r="D17" s="227">
        <v>25</v>
      </c>
      <c r="E17" s="180">
        <f t="shared" si="0"/>
        <v>27962.44</v>
      </c>
      <c r="F17" s="181">
        <v>699061</v>
      </c>
      <c r="G17" s="227"/>
      <c r="H17" s="228"/>
      <c r="I17" s="228"/>
      <c r="J17" s="229"/>
      <c r="K17" s="230"/>
      <c r="L17" s="231"/>
      <c r="M17" s="228"/>
      <c r="N17" s="232">
        <v>0</v>
      </c>
      <c r="O17" s="187">
        <v>0</v>
      </c>
      <c r="P17" s="181">
        <v>0</v>
      </c>
      <c r="R17" s="190"/>
      <c r="S17" s="233"/>
      <c r="T17" s="190"/>
      <c r="U17" s="190"/>
      <c r="V17" s="190"/>
      <c r="W17" s="190"/>
    </row>
    <row r="18" spans="2:29" s="189" customFormat="1" ht="18.75" customHeight="1">
      <c r="B18" s="225"/>
      <c r="C18" s="226"/>
      <c r="D18" s="227"/>
      <c r="E18" s="180"/>
      <c r="F18" s="181"/>
      <c r="G18" s="227"/>
      <c r="H18" s="228"/>
      <c r="I18" s="228"/>
      <c r="J18" s="229"/>
      <c r="K18" s="230"/>
      <c r="L18" s="231"/>
      <c r="M18" s="228"/>
      <c r="N18" s="232">
        <v>0</v>
      </c>
      <c r="O18" s="187">
        <v>0</v>
      </c>
      <c r="P18" s="181">
        <v>0</v>
      </c>
      <c r="R18" s="190"/>
      <c r="T18" s="190"/>
      <c r="U18" s="190"/>
      <c r="V18" s="190"/>
      <c r="W18" s="190"/>
    </row>
    <row r="19" spans="2:29" s="189" customFormat="1" ht="18.75" customHeight="1">
      <c r="B19" s="225"/>
      <c r="C19" s="226"/>
      <c r="D19" s="227"/>
      <c r="E19" s="180"/>
      <c r="F19" s="181"/>
      <c r="G19" s="227"/>
      <c r="H19" s="228"/>
      <c r="I19" s="228"/>
      <c r="J19" s="229"/>
      <c r="K19" s="230"/>
      <c r="L19" s="231"/>
      <c r="M19" s="228"/>
      <c r="N19" s="232"/>
      <c r="O19" s="187"/>
      <c r="P19" s="181"/>
      <c r="R19" s="190"/>
      <c r="S19" s="190" t="s">
        <v>2449</v>
      </c>
      <c r="T19" s="190"/>
      <c r="U19" s="190"/>
      <c r="V19" s="190"/>
      <c r="W19" s="190"/>
    </row>
    <row r="20" spans="2:29" s="189" customFormat="1" ht="18.75" customHeight="1">
      <c r="B20" s="225"/>
      <c r="C20" s="226"/>
      <c r="D20" s="227"/>
      <c r="E20" s="180"/>
      <c r="F20" s="234"/>
      <c r="G20" s="235"/>
      <c r="H20" s="236"/>
      <c r="I20" s="236"/>
      <c r="J20" s="237"/>
      <c r="K20" s="238"/>
      <c r="L20" s="239"/>
      <c r="M20" s="236"/>
      <c r="N20" s="240"/>
      <c r="O20" s="187"/>
      <c r="P20" s="181"/>
      <c r="R20" s="190"/>
      <c r="S20" s="769" t="s">
        <v>2082</v>
      </c>
      <c r="T20" s="769" t="s">
        <v>532</v>
      </c>
      <c r="U20" s="769" t="s">
        <v>2083</v>
      </c>
      <c r="V20" s="769" t="s">
        <v>2450</v>
      </c>
      <c r="W20" s="769" t="s">
        <v>2457</v>
      </c>
      <c r="X20" s="769" t="s">
        <v>2456</v>
      </c>
      <c r="Y20" s="769" t="s">
        <v>2084</v>
      </c>
      <c r="Z20" s="769" t="s">
        <v>2238</v>
      </c>
      <c r="AA20" s="769" t="s">
        <v>2085</v>
      </c>
      <c r="AB20" s="769" t="s">
        <v>2458</v>
      </c>
    </row>
    <row r="21" spans="2:29" s="257" customFormat="1" ht="23.25" customHeight="1">
      <c r="B21" s="241"/>
      <c r="C21" s="242" t="s">
        <v>2093</v>
      </c>
      <c r="D21" s="243">
        <f>SUM(D12:D20)</f>
        <v>524</v>
      </c>
      <c r="E21" s="244"/>
      <c r="F21" s="245">
        <f>SUM(F12:F20)</f>
        <v>14050975</v>
      </c>
      <c r="G21" s="246">
        <v>11173.931</v>
      </c>
      <c r="H21" s="247"/>
      <c r="I21" s="248">
        <f>SUM(J21/G21)</f>
        <v>22714.971749870299</v>
      </c>
      <c r="J21" s="249">
        <v>253815527</v>
      </c>
      <c r="K21" s="250">
        <v>10961.630999999999</v>
      </c>
      <c r="L21" s="251">
        <f>SUM(M21/K21)</f>
        <v>23233.297946263654</v>
      </c>
      <c r="M21" s="252">
        <v>254674839</v>
      </c>
      <c r="N21" s="253">
        <f>SUM(N12:N20)</f>
        <v>736.3</v>
      </c>
      <c r="O21" s="254">
        <f t="shared" ref="O21" si="4">SUM(P21/N21)</f>
        <v>17952.81704717653</v>
      </c>
      <c r="P21" s="255">
        <f>SUM(P12:P20)</f>
        <v>13218659.191836078</v>
      </c>
      <c r="Q21" s="189"/>
      <c r="R21" s="256">
        <v>83.5</v>
      </c>
      <c r="S21" s="771">
        <v>45014</v>
      </c>
      <c r="T21" s="772" t="s">
        <v>2451</v>
      </c>
      <c r="U21" s="773">
        <v>302.95999999999998</v>
      </c>
      <c r="V21" s="773">
        <v>26.97</v>
      </c>
      <c r="W21" s="773">
        <v>53018</v>
      </c>
      <c r="X21" s="769">
        <f>+W21/U21*V21*R21</f>
        <v>394099.125</v>
      </c>
      <c r="Y21" s="772">
        <f>+W13/U21*V21</f>
        <v>80966.08364140481</v>
      </c>
      <c r="Z21" s="772">
        <f>+X13/U21*V21</f>
        <v>10978.159153023502</v>
      </c>
      <c r="AA21" s="772">
        <f>+Y13/U21*V21</f>
        <v>827.634308159493</v>
      </c>
      <c r="AB21" s="774">
        <f>SUM(X21:AA21)</f>
        <v>486871.00210258778</v>
      </c>
      <c r="AC21" s="770"/>
    </row>
    <row r="22" spans="2:29" s="257" customFormat="1" ht="23.25" customHeight="1">
      <c r="B22" s="258"/>
      <c r="C22" s="259" t="s">
        <v>2094</v>
      </c>
      <c r="D22" s="260">
        <v>0</v>
      </c>
      <c r="E22" s="261"/>
      <c r="F22" s="262">
        <v>0</v>
      </c>
      <c r="G22" s="263">
        <f>+V30</f>
        <v>1102.9490000000001</v>
      </c>
      <c r="H22" s="264"/>
      <c r="I22" s="265"/>
      <c r="J22" s="266">
        <f>+AB30</f>
        <v>18377392.641802322</v>
      </c>
      <c r="K22" s="267">
        <v>0</v>
      </c>
      <c r="L22" s="268">
        <v>0</v>
      </c>
      <c r="M22" s="269">
        <v>0</v>
      </c>
      <c r="N22" s="270">
        <v>1102.9690000000001</v>
      </c>
      <c r="O22" s="271"/>
      <c r="P22" s="272">
        <f>+AB30</f>
        <v>18377392.641802322</v>
      </c>
      <c r="Q22" s="189"/>
      <c r="R22" s="256">
        <v>83.7</v>
      </c>
      <c r="S22" s="771">
        <v>45016</v>
      </c>
      <c r="T22" s="772" t="s">
        <v>2455</v>
      </c>
      <c r="U22" s="773">
        <v>239.48</v>
      </c>
      <c r="V22" s="773">
        <v>215.18</v>
      </c>
      <c r="W22" s="773">
        <v>33527.199999999997</v>
      </c>
      <c r="X22" s="769">
        <f>+W22/U22*V22*R22</f>
        <v>2521479.2400000002</v>
      </c>
      <c r="Y22" s="772">
        <f>+W16/U22*V22</f>
        <v>879427.39769500587</v>
      </c>
      <c r="Z22" s="944">
        <f>+X16/U22*V22</f>
        <v>69749.570878570245</v>
      </c>
      <c r="AA22" s="944">
        <f>+Y16/U22*V22</f>
        <v>6017.4564055453484</v>
      </c>
      <c r="AB22" s="774">
        <f>SUM(X22:AA22)</f>
        <v>3476673.6649791216</v>
      </c>
      <c r="AC22" s="770"/>
    </row>
    <row r="23" spans="2:29" s="282" customFormat="1" ht="27" customHeight="1" thickBot="1">
      <c r="B23" s="273"/>
      <c r="C23" s="274" t="s">
        <v>2095</v>
      </c>
      <c r="D23" s="275">
        <f>SUM(D11+D21)</f>
        <v>744</v>
      </c>
      <c r="E23" s="276"/>
      <c r="F23" s="277">
        <f>SUM(F11+F21)</f>
        <v>20524475</v>
      </c>
      <c r="G23" s="278">
        <f>SUM(G11+G21+G22)</f>
        <v>38112.239999999998</v>
      </c>
      <c r="H23" s="279"/>
      <c r="I23" s="278">
        <f>SUM(I11+I21)</f>
        <v>22714.971749870299</v>
      </c>
      <c r="J23" s="280">
        <f>SUM(J11+J21+J22)</f>
        <v>774164828.64180231</v>
      </c>
      <c r="K23" s="278">
        <f>SUM(K11+K21)</f>
        <v>36900.991000000002</v>
      </c>
      <c r="L23" s="278">
        <f t="shared" ref="L23:O23" si="5">SUM(L11+L21)</f>
        <v>23233.297946263654</v>
      </c>
      <c r="M23" s="280">
        <f t="shared" si="5"/>
        <v>761381742</v>
      </c>
      <c r="N23" s="278">
        <f t="shared" si="5"/>
        <v>852.3</v>
      </c>
      <c r="O23" s="278">
        <f t="shared" si="5"/>
        <v>32939.9377368317</v>
      </c>
      <c r="P23" s="280">
        <f>SUM(P11+P21+P22)</f>
        <v>33334557.8336384</v>
      </c>
      <c r="Q23" s="189"/>
      <c r="R23" s="190">
        <v>83.5</v>
      </c>
      <c r="S23" s="771">
        <v>45016</v>
      </c>
      <c r="T23" s="772" t="s">
        <v>2455</v>
      </c>
      <c r="U23" s="773">
        <v>234.8</v>
      </c>
      <c r="V23" s="775">
        <v>118.2</v>
      </c>
      <c r="W23" s="775">
        <v>35220</v>
      </c>
      <c r="X23" s="769">
        <f t="shared" ref="X23:X29" si="6">+W23/U23*V23*R23</f>
        <v>1480455</v>
      </c>
      <c r="Y23" s="776">
        <f>+W15/U23*V23</f>
        <v>492956.42248722317</v>
      </c>
      <c r="Z23" s="777">
        <f>+X15/U23*V23</f>
        <v>41336.271720613287</v>
      </c>
      <c r="AA23" s="777">
        <f>+Y15/U23*V23</f>
        <v>3483.5775127768311</v>
      </c>
      <c r="AB23" s="774">
        <f>SUM(X23:AA23)</f>
        <v>2018231.2717206134</v>
      </c>
      <c r="AC23" s="770"/>
    </row>
    <row r="24" spans="2:29" s="282" customFormat="1" ht="19.5" customHeight="1" thickBot="1">
      <c r="B24" s="283"/>
      <c r="C24" s="284"/>
      <c r="D24" s="193"/>
      <c r="E24" s="194"/>
      <c r="F24" s="285"/>
      <c r="G24" s="193"/>
      <c r="H24" s="198"/>
      <c r="I24" s="198"/>
      <c r="J24" s="199"/>
      <c r="K24" s="286"/>
      <c r="L24" s="287"/>
      <c r="M24" s="288"/>
      <c r="N24" s="289"/>
      <c r="O24" s="290"/>
      <c r="P24" s="291"/>
      <c r="Q24" s="292"/>
      <c r="R24" s="190">
        <v>83.7</v>
      </c>
      <c r="S24" s="771">
        <v>45016</v>
      </c>
      <c r="T24" s="778" t="s">
        <v>2452</v>
      </c>
      <c r="U24" s="779">
        <v>24.114999999999998</v>
      </c>
      <c r="V24" s="779">
        <v>24.114999999999998</v>
      </c>
      <c r="W24" s="779">
        <v>4364.82</v>
      </c>
      <c r="X24" s="769">
        <f t="shared" si="6"/>
        <v>365335.43400000001</v>
      </c>
      <c r="Y24" s="776">
        <v>0</v>
      </c>
      <c r="Z24" s="776">
        <f>+(9133.4+913.3)/U24*V24</f>
        <v>10046.699999999999</v>
      </c>
      <c r="AA24" s="776">
        <v>0</v>
      </c>
      <c r="AB24" s="774">
        <f t="shared" ref="AB24:AB29" si="7">SUM(X24:AA24)</f>
        <v>375382.13400000002</v>
      </c>
    </row>
    <row r="25" spans="2:29" s="282" customFormat="1" ht="22.5" customHeight="1">
      <c r="B25" s="293" t="s">
        <v>2096</v>
      </c>
      <c r="C25" s="178" t="s">
        <v>2097</v>
      </c>
      <c r="D25" s="218"/>
      <c r="E25" s="180"/>
      <c r="F25" s="255">
        <v>656155</v>
      </c>
      <c r="G25" s="218"/>
      <c r="H25" s="294"/>
      <c r="I25" s="294"/>
      <c r="J25" s="295">
        <v>10873017</v>
      </c>
      <c r="K25" s="296"/>
      <c r="L25" s="297"/>
      <c r="M25" s="295">
        <v>10981034</v>
      </c>
      <c r="N25" s="298"/>
      <c r="O25" s="299"/>
      <c r="P25" s="188">
        <f>SUM(F25+J25-M25)</f>
        <v>548138</v>
      </c>
      <c r="Q25" s="292"/>
      <c r="R25" s="190">
        <v>83.7</v>
      </c>
      <c r="S25" s="771">
        <v>45016</v>
      </c>
      <c r="T25" s="778" t="s">
        <v>2453</v>
      </c>
      <c r="U25" s="779">
        <v>46.9</v>
      </c>
      <c r="V25" s="779">
        <v>46.9</v>
      </c>
      <c r="W25" s="779">
        <v>7738.5</v>
      </c>
      <c r="X25" s="769">
        <f t="shared" si="6"/>
        <v>647712.45000000007</v>
      </c>
      <c r="Y25" s="776">
        <v>152310</v>
      </c>
      <c r="Z25" s="776">
        <f>+(16192.8+1619.3+126)/U25*V25</f>
        <v>17938.099999999999</v>
      </c>
      <c r="AA25" s="776">
        <v>0</v>
      </c>
      <c r="AB25" s="774">
        <f t="shared" si="7"/>
        <v>817960.55</v>
      </c>
    </row>
    <row r="26" spans="2:29" s="282" customFormat="1" ht="20.25" customHeight="1">
      <c r="B26" s="300"/>
      <c r="C26" s="301"/>
      <c r="D26" s="227"/>
      <c r="E26" s="244"/>
      <c r="F26" s="302"/>
      <c r="G26" s="227"/>
      <c r="H26" s="303"/>
      <c r="I26" s="303"/>
      <c r="J26" s="304"/>
      <c r="K26" s="305"/>
      <c r="L26" s="306"/>
      <c r="M26" s="229"/>
      <c r="N26" s="240"/>
      <c r="O26" s="307"/>
      <c r="P26" s="308"/>
      <c r="Q26" s="292"/>
      <c r="R26" s="190">
        <v>83.7</v>
      </c>
      <c r="S26" s="771">
        <v>45016</v>
      </c>
      <c r="T26" s="778" t="s">
        <v>2452</v>
      </c>
      <c r="U26" s="779">
        <v>47.274000000000001</v>
      </c>
      <c r="V26" s="779">
        <v>47.274000000000001</v>
      </c>
      <c r="W26" s="779">
        <v>8698.42</v>
      </c>
      <c r="X26" s="769">
        <f t="shared" si="6"/>
        <v>728057.75400000007</v>
      </c>
      <c r="Y26" s="776">
        <f>500+127012+2228.19+9000+11680</f>
        <v>150420.19</v>
      </c>
      <c r="Z26" s="776">
        <f>+(18201.4+1820.1+142)/U26*V26</f>
        <v>20163.5</v>
      </c>
      <c r="AA26" s="776">
        <v>0</v>
      </c>
      <c r="AB26" s="774">
        <f t="shared" si="7"/>
        <v>898641.44400000013</v>
      </c>
    </row>
    <row r="27" spans="2:29" s="282" customFormat="1" ht="20.25" customHeight="1">
      <c r="B27" s="300" t="s">
        <v>2098</v>
      </c>
      <c r="C27" s="242" t="s">
        <v>2099</v>
      </c>
      <c r="D27" s="227"/>
      <c r="E27" s="244"/>
      <c r="F27" s="309">
        <v>2975248</v>
      </c>
      <c r="G27" s="227"/>
      <c r="H27" s="303"/>
      <c r="I27" s="303"/>
      <c r="J27" s="304">
        <v>52102076</v>
      </c>
      <c r="K27" s="305"/>
      <c r="L27" s="306"/>
      <c r="M27" s="304">
        <v>53861149</v>
      </c>
      <c r="N27" s="240"/>
      <c r="O27" s="307"/>
      <c r="P27" s="188">
        <f>SUM(F27+J27-M27)</f>
        <v>1216175</v>
      </c>
      <c r="Q27" s="292"/>
      <c r="R27" s="190">
        <v>83.7</v>
      </c>
      <c r="S27" s="771">
        <v>45016</v>
      </c>
      <c r="T27" s="778" t="s">
        <v>2453</v>
      </c>
      <c r="U27" s="779">
        <v>100.32</v>
      </c>
      <c r="V27" s="779">
        <v>100.32</v>
      </c>
      <c r="W27" s="779">
        <v>16552.8</v>
      </c>
      <c r="X27" s="769">
        <f t="shared" si="6"/>
        <v>1385469.36</v>
      </c>
      <c r="Y27" s="776">
        <v>299420</v>
      </c>
      <c r="Z27" s="776">
        <f>+(34636.7+3463.7)/U27*V27</f>
        <v>38100.399999999994</v>
      </c>
      <c r="AA27" s="776">
        <v>0</v>
      </c>
      <c r="AB27" s="774">
        <f t="shared" si="7"/>
        <v>1722989.76</v>
      </c>
    </row>
    <row r="28" spans="2:29" s="282" customFormat="1" ht="21" customHeight="1">
      <c r="B28" s="300"/>
      <c r="C28" s="310"/>
      <c r="D28" s="227"/>
      <c r="E28" s="244"/>
      <c r="F28" s="311"/>
      <c r="G28" s="227"/>
      <c r="H28" s="303"/>
      <c r="I28" s="303"/>
      <c r="J28" s="304"/>
      <c r="K28" s="305"/>
      <c r="L28" s="307"/>
      <c r="M28" s="312"/>
      <c r="N28" s="240"/>
      <c r="O28" s="307"/>
      <c r="P28" s="308"/>
      <c r="Q28" s="292"/>
      <c r="R28" s="190">
        <v>83.7</v>
      </c>
      <c r="S28" s="771">
        <v>45016</v>
      </c>
      <c r="T28" s="778" t="s">
        <v>2454</v>
      </c>
      <c r="U28" s="779">
        <v>259.04000000000002</v>
      </c>
      <c r="V28" s="779">
        <v>259.04000000000002</v>
      </c>
      <c r="W28" s="779">
        <v>45332</v>
      </c>
      <c r="X28" s="769">
        <f t="shared" si="6"/>
        <v>3794288.4</v>
      </c>
      <c r="Y28" s="776">
        <f>635060+9000+38400+11220.89+500</f>
        <v>694180.89</v>
      </c>
      <c r="Z28" s="776">
        <f>+(94857.2+9485.7)/U28*V28</f>
        <v>104342.9</v>
      </c>
      <c r="AA28" s="776">
        <v>0</v>
      </c>
      <c r="AB28" s="774">
        <f t="shared" si="7"/>
        <v>4592812.1900000004</v>
      </c>
    </row>
    <row r="29" spans="2:29" s="282" customFormat="1" ht="22.5" customHeight="1">
      <c r="B29" s="300" t="s">
        <v>2100</v>
      </c>
      <c r="C29" s="242" t="s">
        <v>2101</v>
      </c>
      <c r="D29" s="227">
        <v>205</v>
      </c>
      <c r="E29" s="180">
        <f>SUM(F29/D29)</f>
        <v>6546.6146341463418</v>
      </c>
      <c r="F29" s="255">
        <v>1342056</v>
      </c>
      <c r="G29" s="313">
        <v>6214.64</v>
      </c>
      <c r="H29" s="303"/>
      <c r="I29" s="183">
        <f>SUM(J29/G29)</f>
        <v>7805.0104269917483</v>
      </c>
      <c r="J29" s="304">
        <v>48505330</v>
      </c>
      <c r="K29" s="305">
        <v>6011.64</v>
      </c>
      <c r="L29" s="314">
        <f>SUM(M29/K29)</f>
        <v>7935.3547451277846</v>
      </c>
      <c r="M29" s="304">
        <v>47704496</v>
      </c>
      <c r="N29" s="240">
        <f>SUM(D29+G29-K29)</f>
        <v>408</v>
      </c>
      <c r="O29" s="187">
        <f>SUM(P29/N29)</f>
        <v>5252.1813725490192</v>
      </c>
      <c r="P29" s="188">
        <f>SUM(F29+J29-M29)</f>
        <v>2142890</v>
      </c>
      <c r="Q29" s="292"/>
      <c r="R29" s="190">
        <v>83.7</v>
      </c>
      <c r="S29" s="771">
        <v>45016</v>
      </c>
      <c r="T29" s="772" t="s">
        <v>2455</v>
      </c>
      <c r="U29" s="779">
        <v>264.95</v>
      </c>
      <c r="V29" s="779">
        <v>264.95</v>
      </c>
      <c r="W29" s="779">
        <v>46366.25</v>
      </c>
      <c r="X29" s="769">
        <f t="shared" si="6"/>
        <v>3880855.125</v>
      </c>
      <c r="Y29" s="776">
        <v>0</v>
      </c>
      <c r="Z29" s="776">
        <f>+(97021.4+9702.1+252)/U29*V29</f>
        <v>106975.5</v>
      </c>
      <c r="AA29" s="776">
        <v>0</v>
      </c>
      <c r="AB29" s="774">
        <f t="shared" si="7"/>
        <v>3987830.625</v>
      </c>
    </row>
    <row r="30" spans="2:29" s="282" customFormat="1" ht="19.5" customHeight="1">
      <c r="B30" s="300"/>
      <c r="C30" s="301"/>
      <c r="D30" s="227"/>
      <c r="E30" s="244"/>
      <c r="F30" s="315"/>
      <c r="G30" s="227"/>
      <c r="H30" s="316"/>
      <c r="I30" s="316"/>
      <c r="J30" s="304"/>
      <c r="K30" s="305"/>
      <c r="L30" s="306"/>
      <c r="M30" s="229"/>
      <c r="N30" s="240"/>
      <c r="O30" s="317"/>
      <c r="P30" s="308"/>
      <c r="Q30" s="292"/>
      <c r="R30" s="190"/>
      <c r="S30" s="281"/>
      <c r="T30" s="281"/>
      <c r="U30" s="281"/>
      <c r="V30" s="281">
        <f>SUM(V21:V29)</f>
        <v>1102.9490000000001</v>
      </c>
      <c r="W30" s="281"/>
      <c r="Y30" s="282">
        <f>SUM(Y21:Y29)</f>
        <v>2749680.9838236338</v>
      </c>
      <c r="Z30" s="282">
        <f>SUM(Z21:Z29)</f>
        <v>419631.10175220703</v>
      </c>
      <c r="AB30" s="363">
        <f>SUM(AB21:AB29)</f>
        <v>18377392.641802322</v>
      </c>
    </row>
    <row r="31" spans="2:29" s="282" customFormat="1" ht="19.5" customHeight="1">
      <c r="B31" s="300" t="s">
        <v>2102</v>
      </c>
      <c r="C31" s="242" t="s">
        <v>2103</v>
      </c>
      <c r="D31" s="318">
        <v>160</v>
      </c>
      <c r="E31" s="180">
        <f>SUM(F31/D31)</f>
        <v>4500</v>
      </c>
      <c r="F31" s="255">
        <v>720000</v>
      </c>
      <c r="G31" s="319">
        <v>10065.25</v>
      </c>
      <c r="H31" s="316"/>
      <c r="I31" s="183">
        <f>SUM(J31/G31)</f>
        <v>5294.1184769379797</v>
      </c>
      <c r="J31" s="304">
        <v>53286626</v>
      </c>
      <c r="K31" s="305">
        <v>10225.25</v>
      </c>
      <c r="L31" s="314">
        <f>SUM(M31/K31)</f>
        <v>5281.6924769565539</v>
      </c>
      <c r="M31" s="304">
        <v>54006626</v>
      </c>
      <c r="N31" s="240">
        <f>SUM(D31+G31-K31)</f>
        <v>0</v>
      </c>
      <c r="O31" s="187">
        <v>0</v>
      </c>
      <c r="P31" s="188">
        <f>SUM(F31+J31-M31)</f>
        <v>0</v>
      </c>
      <c r="Q31" s="292"/>
      <c r="R31" s="190"/>
      <c r="S31" s="281">
        <f>15197750-P22</f>
        <v>-3179642.6418023221</v>
      </c>
      <c r="T31" s="281"/>
      <c r="U31" s="281"/>
      <c r="V31" s="281"/>
      <c r="W31" s="281"/>
    </row>
    <row r="32" spans="2:29" s="282" customFormat="1" ht="19.5" customHeight="1">
      <c r="B32" s="300"/>
      <c r="C32" s="301"/>
      <c r="D32" s="318"/>
      <c r="E32" s="244"/>
      <c r="F32" s="315"/>
      <c r="G32" s="318"/>
      <c r="H32" s="316"/>
      <c r="I32" s="316"/>
      <c r="J32" s="304"/>
      <c r="K32" s="320"/>
      <c r="L32" s="321"/>
      <c r="M32" s="229"/>
      <c r="N32" s="240"/>
      <c r="O32" s="317"/>
      <c r="P32" s="308"/>
      <c r="Q32" s="292"/>
      <c r="R32" s="190"/>
      <c r="S32" s="281"/>
      <c r="T32" s="281"/>
      <c r="U32" s="281"/>
      <c r="V32" s="281"/>
      <c r="W32" s="281"/>
    </row>
    <row r="33" spans="2:23" s="282" customFormat="1" ht="24" customHeight="1">
      <c r="B33" s="322"/>
      <c r="C33" s="323" t="s">
        <v>2104</v>
      </c>
      <c r="D33" s="324"/>
      <c r="E33" s="325"/>
      <c r="F33" s="326">
        <f>SUM(F23+F25+F27+F29+F31)</f>
        <v>26217934</v>
      </c>
      <c r="G33" s="324"/>
      <c r="H33" s="327"/>
      <c r="I33" s="327"/>
      <c r="J33" s="326">
        <f>SUM(J23:J31)</f>
        <v>938931877.64180231</v>
      </c>
      <c r="K33" s="328"/>
      <c r="L33" s="327"/>
      <c r="M33" s="326">
        <f>SUM(M23:M32)</f>
        <v>927935047</v>
      </c>
      <c r="N33" s="329"/>
      <c r="O33" s="330"/>
      <c r="P33" s="331">
        <f>SUM(P23+P25+P27+P29+P31)</f>
        <v>37241760.8336384</v>
      </c>
      <c r="Q33" s="332">
        <v>0</v>
      </c>
      <c r="R33" s="190"/>
      <c r="S33" s="281"/>
      <c r="T33" s="281"/>
      <c r="U33" s="281"/>
      <c r="V33" s="281"/>
      <c r="W33" s="281"/>
    </row>
    <row r="34" spans="2:23" s="282" customFormat="1" ht="21.75" customHeight="1">
      <c r="B34" s="300"/>
      <c r="C34" s="301"/>
      <c r="D34" s="227"/>
      <c r="E34" s="244"/>
      <c r="F34" s="315"/>
      <c r="G34" s="227"/>
      <c r="H34" s="236"/>
      <c r="I34" s="236"/>
      <c r="J34" s="234"/>
      <c r="K34" s="333"/>
      <c r="L34" s="334"/>
      <c r="M34" s="308"/>
      <c r="N34" s="240"/>
      <c r="O34" s="317"/>
      <c r="P34" s="308"/>
      <c r="Q34" s="292"/>
      <c r="R34" s="190"/>
      <c r="S34" s="281"/>
      <c r="T34" s="281"/>
      <c r="U34" s="281"/>
      <c r="V34" s="281"/>
      <c r="W34" s="281"/>
    </row>
    <row r="35" spans="2:23" s="282" customFormat="1" ht="21" customHeight="1">
      <c r="B35" s="300" t="s">
        <v>2105</v>
      </c>
      <c r="C35" s="242" t="s">
        <v>2106</v>
      </c>
      <c r="D35" s="313">
        <v>462.15800000000002</v>
      </c>
      <c r="E35" s="180">
        <f>SUM(F35/D35)</f>
        <v>36974.999891811887</v>
      </c>
      <c r="F35" s="181">
        <v>17088292</v>
      </c>
      <c r="G35" s="227"/>
      <c r="H35" s="294"/>
      <c r="I35" s="294"/>
      <c r="J35" s="295"/>
      <c r="K35" s="333"/>
      <c r="M35" s="308"/>
      <c r="N35" s="240">
        <v>592.61900000000003</v>
      </c>
      <c r="O35" s="187">
        <f>SUM(P35/N35)</f>
        <v>27783.832445466647</v>
      </c>
      <c r="P35" s="181">
        <f>+'FG Valuation'!G39</f>
        <v>16465227</v>
      </c>
      <c r="Q35" s="292"/>
      <c r="R35" s="190"/>
      <c r="S35" s="281"/>
      <c r="T35" s="281"/>
      <c r="U35" s="281"/>
      <c r="V35" s="281"/>
      <c r="W35" s="281"/>
    </row>
    <row r="36" spans="2:23" s="282" customFormat="1" ht="19.5" customHeight="1">
      <c r="B36" s="300"/>
      <c r="C36" s="310"/>
      <c r="D36" s="313"/>
      <c r="E36" s="180"/>
      <c r="F36" s="335"/>
      <c r="G36" s="227"/>
      <c r="H36" s="303"/>
      <c r="I36" s="336"/>
      <c r="J36" s="304"/>
      <c r="K36" s="333"/>
      <c r="L36" s="314"/>
      <c r="M36" s="308"/>
      <c r="N36" s="240"/>
      <c r="O36" s="317"/>
      <c r="P36" s="188"/>
      <c r="Q36" s="292"/>
      <c r="R36" s="190"/>
      <c r="S36" s="281"/>
      <c r="T36" s="281"/>
      <c r="U36" s="281"/>
      <c r="V36" s="281"/>
      <c r="W36" s="281"/>
    </row>
    <row r="37" spans="2:23" s="282" customFormat="1" ht="21" customHeight="1">
      <c r="B37" s="300" t="s">
        <v>2107</v>
      </c>
      <c r="C37" s="242" t="s">
        <v>2108</v>
      </c>
      <c r="D37" s="183"/>
      <c r="E37" s="244"/>
      <c r="F37" s="335">
        <v>8287041</v>
      </c>
      <c r="G37" s="183"/>
      <c r="H37" s="301"/>
      <c r="I37" s="301"/>
      <c r="J37" s="337"/>
      <c r="K37" s="338"/>
      <c r="L37" s="339"/>
      <c r="M37" s="308"/>
      <c r="N37" s="340"/>
      <c r="O37" s="341"/>
      <c r="P37" s="181">
        <v>8955693</v>
      </c>
      <c r="Q37" s="292"/>
      <c r="R37" s="190"/>
      <c r="S37" s="281"/>
      <c r="T37" s="281"/>
      <c r="U37" s="281"/>
      <c r="V37" s="281"/>
      <c r="W37" s="281"/>
    </row>
    <row r="38" spans="2:23" s="282" customFormat="1" ht="22.5" customHeight="1" thickBot="1">
      <c r="B38" s="273"/>
      <c r="C38" s="342"/>
      <c r="D38" s="273"/>
      <c r="E38" s="343"/>
      <c r="F38" s="344"/>
      <c r="G38" s="345"/>
      <c r="H38" s="346"/>
      <c r="I38" s="346"/>
      <c r="J38" s="347"/>
      <c r="K38" s="348"/>
      <c r="L38" s="343"/>
      <c r="M38" s="344"/>
      <c r="N38" s="349"/>
      <c r="O38" s="350"/>
      <c r="P38" s="344"/>
      <c r="Q38" s="292"/>
      <c r="R38" s="190"/>
      <c r="S38" s="281"/>
      <c r="T38" s="281"/>
      <c r="U38" s="281"/>
      <c r="V38" s="281"/>
      <c r="W38" s="281"/>
    </row>
    <row r="39" spans="2:23" s="363" customFormat="1" ht="27" customHeight="1" thickBot="1">
      <c r="B39" s="351"/>
      <c r="C39" s="352" t="s">
        <v>2109</v>
      </c>
      <c r="D39" s="353"/>
      <c r="E39" s="354"/>
      <c r="F39" s="355">
        <f>SUM(F33:F38)</f>
        <v>51593267</v>
      </c>
      <c r="G39" s="356"/>
      <c r="H39" s="357"/>
      <c r="I39" s="357"/>
      <c r="J39" s="355"/>
      <c r="K39" s="358"/>
      <c r="L39" s="357"/>
      <c r="M39" s="355"/>
      <c r="N39" s="359"/>
      <c r="O39" s="360"/>
      <c r="P39" s="361">
        <f>SUM(P33+P35+P37)</f>
        <v>62662680.8336384</v>
      </c>
      <c r="Q39" s="189"/>
      <c r="R39" s="190"/>
      <c r="S39" s="362"/>
      <c r="T39" s="281"/>
      <c r="U39" s="362"/>
      <c r="V39" s="362"/>
      <c r="W39" s="362"/>
    </row>
    <row r="40" spans="2:23" s="363" customFormat="1">
      <c r="B40" s="364"/>
      <c r="C40" s="364"/>
      <c r="D40" s="364"/>
      <c r="E40" s="364"/>
      <c r="F40" s="364"/>
      <c r="G40" s="364"/>
      <c r="H40" s="364"/>
      <c r="I40" s="364"/>
      <c r="J40" s="364"/>
      <c r="K40" s="365"/>
      <c r="L40" s="364"/>
      <c r="M40" s="364"/>
      <c r="N40" s="365"/>
      <c r="O40" s="364"/>
      <c r="P40" s="366">
        <v>59660643</v>
      </c>
      <c r="R40" s="190"/>
      <c r="S40" s="362"/>
      <c r="T40" s="362"/>
      <c r="U40" s="362"/>
      <c r="V40" s="362"/>
      <c r="W40" s="362"/>
    </row>
    <row r="41" spans="2:23" s="363" customFormat="1">
      <c r="B41" s="364"/>
      <c r="C41" s="364"/>
      <c r="D41" s="364"/>
      <c r="E41" s="364"/>
      <c r="F41" s="364"/>
      <c r="G41" s="364"/>
      <c r="H41" s="364"/>
      <c r="I41" s="364"/>
      <c r="J41" s="364"/>
      <c r="K41" s="365"/>
      <c r="L41" s="364"/>
      <c r="M41" s="364"/>
      <c r="N41" s="365"/>
      <c r="O41" s="364"/>
      <c r="P41" s="366">
        <f>+P40-P39</f>
        <v>-3002037.8336383998</v>
      </c>
      <c r="R41" s="190"/>
      <c r="S41" s="362"/>
      <c r="T41" s="362"/>
      <c r="U41" s="362"/>
      <c r="V41" s="362"/>
      <c r="W41" s="362"/>
    </row>
    <row r="42" spans="2:23" s="367" customFormat="1">
      <c r="F42" s="367" t="s">
        <v>2101</v>
      </c>
      <c r="G42" s="367">
        <v>6929.6</v>
      </c>
      <c r="H42" s="368"/>
      <c r="I42" s="368"/>
      <c r="J42" s="369"/>
      <c r="K42" s="370"/>
      <c r="N42" s="370"/>
      <c r="P42" s="371"/>
      <c r="T42" s="362"/>
    </row>
    <row r="43" spans="2:23" s="367" customFormat="1">
      <c r="K43" s="370"/>
      <c r="N43" s="370"/>
    </row>
    <row r="44" spans="2:23" s="367" customFormat="1">
      <c r="F44" s="367" t="s">
        <v>2110</v>
      </c>
      <c r="G44" s="372">
        <v>14082.69</v>
      </c>
      <c r="H44" s="372"/>
      <c r="I44" s="372"/>
      <c r="J44" s="372">
        <v>208095676</v>
      </c>
      <c r="K44" s="370"/>
      <c r="M44" s="367" t="s">
        <v>2111</v>
      </c>
      <c r="N44" s="370"/>
      <c r="P44" s="367">
        <v>50731860</v>
      </c>
    </row>
    <row r="45" spans="2:23" s="367" customFormat="1">
      <c r="G45" s="367" t="s">
        <v>2112</v>
      </c>
      <c r="H45" s="373"/>
      <c r="I45" s="373"/>
      <c r="J45" s="367" t="s">
        <v>2113</v>
      </c>
      <c r="K45" s="370"/>
      <c r="N45" s="370"/>
    </row>
    <row r="46" spans="2:23" s="367" customFormat="1">
      <c r="E46" s="374" t="s">
        <v>2078</v>
      </c>
      <c r="G46" s="367">
        <v>206705257</v>
      </c>
      <c r="H46" s="373"/>
      <c r="I46" s="373"/>
      <c r="J46" s="367">
        <v>-97905166</v>
      </c>
      <c r="K46" s="370"/>
      <c r="M46" s="367" t="s">
        <v>2113</v>
      </c>
      <c r="N46" s="370"/>
      <c r="P46" s="367">
        <v>4746766</v>
      </c>
    </row>
    <row r="47" spans="2:23" s="367" customFormat="1">
      <c r="E47" s="367" t="s">
        <v>2092</v>
      </c>
      <c r="G47" s="367">
        <v>0</v>
      </c>
      <c r="J47" s="367">
        <v>-127735752</v>
      </c>
      <c r="K47" s="370"/>
      <c r="N47" s="370"/>
    </row>
    <row r="48" spans="2:23" s="367" customFormat="1">
      <c r="E48" s="367" t="s">
        <v>2097</v>
      </c>
      <c r="G48" s="367">
        <v>5874950</v>
      </c>
      <c r="J48" s="367">
        <v>-176435</v>
      </c>
      <c r="K48" s="370"/>
      <c r="N48" s="370"/>
    </row>
    <row r="49" spans="5:20" s="367" customFormat="1">
      <c r="E49" s="375" t="s">
        <v>2099</v>
      </c>
      <c r="G49" s="367">
        <v>39627524</v>
      </c>
      <c r="J49" s="367">
        <v>2154656</v>
      </c>
      <c r="K49" s="370"/>
      <c r="N49" s="370"/>
    </row>
    <row r="50" spans="5:20" s="367" customFormat="1">
      <c r="E50" s="375" t="s">
        <v>2114</v>
      </c>
      <c r="G50" s="367">
        <v>46546231</v>
      </c>
      <c r="J50" s="367">
        <v>-1822536</v>
      </c>
      <c r="K50" s="370"/>
      <c r="N50" s="370"/>
    </row>
    <row r="51" spans="5:20" s="367" customFormat="1">
      <c r="E51" s="367" t="s">
        <v>2106</v>
      </c>
      <c r="J51" s="367">
        <v>0</v>
      </c>
      <c r="K51" s="370"/>
      <c r="N51" s="370"/>
    </row>
    <row r="52" spans="5:20" s="367" customFormat="1">
      <c r="E52" s="367" t="s">
        <v>2108</v>
      </c>
      <c r="J52" s="367">
        <v>0</v>
      </c>
      <c r="K52" s="370"/>
      <c r="N52" s="370"/>
    </row>
    <row r="53" spans="5:20" s="367" customFormat="1">
      <c r="G53" s="367">
        <v>298753962</v>
      </c>
      <c r="J53" s="367">
        <v>-225485233</v>
      </c>
      <c r="K53" s="370"/>
      <c r="N53" s="370"/>
    </row>
    <row r="54" spans="5:20" s="367" customFormat="1">
      <c r="K54" s="370"/>
      <c r="N54" s="370"/>
    </row>
    <row r="55" spans="5:20" s="367" customFormat="1">
      <c r="K55" s="370"/>
      <c r="N55" s="370"/>
    </row>
    <row r="56" spans="5:20">
      <c r="T56" s="367"/>
    </row>
  </sheetData>
  <mergeCells count="9">
    <mergeCell ref="B1:P1"/>
    <mergeCell ref="B2:P2"/>
    <mergeCell ref="G5:J6"/>
    <mergeCell ref="B7:B8"/>
    <mergeCell ref="C7:C8"/>
    <mergeCell ref="D7:F7"/>
    <mergeCell ref="G7:J7"/>
    <mergeCell ref="K7:M7"/>
    <mergeCell ref="N7:P7"/>
  </mergeCells>
  <conditionalFormatting sqref="H42:I42">
    <cfRule type="duplicateValues" dxfId="0" priority="1"/>
  </conditionalFormatting>
  <pageMargins left="0.19685039370078741" right="0.19685039370078741" top="0.39370078740157483" bottom="0.19685039370078741" header="0.31496062992125984" footer="0.31496062992125984"/>
  <pageSetup paperSize="9" scale="6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Q25"/>
  <sheetViews>
    <sheetView view="pageBreakPreview" topLeftCell="H1" zoomScale="115" zoomScaleNormal="100" zoomScaleSheetLayoutView="115" workbookViewId="0">
      <selection activeCell="H46" sqref="H46"/>
    </sheetView>
  </sheetViews>
  <sheetFormatPr defaultColWidth="9.109375" defaultRowHeight="13.2"/>
  <cols>
    <col min="1" max="1" width="5" style="377" hidden="1" customWidth="1"/>
    <col min="2" max="2" width="40" style="377" hidden="1" customWidth="1"/>
    <col min="3" max="3" width="12" style="377" hidden="1" customWidth="1"/>
    <col min="4" max="4" width="40" style="377" hidden="1" customWidth="1"/>
    <col min="5" max="5" width="3" style="377" hidden="1" customWidth="1"/>
    <col min="6" max="6" width="10" style="377" hidden="1" customWidth="1"/>
    <col min="7" max="7" width="10.5546875" style="377" hidden="1" customWidth="1"/>
    <col min="8" max="8" width="8.5546875" style="377" customWidth="1"/>
    <col min="9" max="9" width="29.33203125" style="377" bestFit="1" customWidth="1"/>
    <col min="10" max="10" width="17.44140625" style="377" customWidth="1"/>
    <col min="11" max="11" width="13.44140625" style="377" bestFit="1" customWidth="1"/>
    <col min="12" max="12" width="14.6640625" style="377" bestFit="1" customWidth="1"/>
    <col min="13" max="13" width="15.109375" style="377" bestFit="1" customWidth="1"/>
    <col min="14" max="14" width="9.33203125" style="377" bestFit="1" customWidth="1"/>
    <col min="15" max="15" width="9.5546875" style="377" bestFit="1" customWidth="1"/>
    <col min="16" max="16" width="9.33203125" style="377" bestFit="1" customWidth="1"/>
    <col min="17" max="16384" width="9.109375" style="377"/>
  </cols>
  <sheetData>
    <row r="2" spans="1:16" ht="25.8">
      <c r="H2" s="2419" t="s">
        <v>2115</v>
      </c>
      <c r="I2" s="2419"/>
      <c r="J2" s="2419"/>
      <c r="K2" s="2419"/>
      <c r="L2" s="2419"/>
      <c r="M2" s="2419"/>
    </row>
    <row r="3" spans="1:16" ht="18">
      <c r="H3" s="2420" t="s">
        <v>2135</v>
      </c>
      <c r="I3" s="2420"/>
      <c r="J3" s="2420"/>
      <c r="K3" s="2420"/>
      <c r="L3" s="2420"/>
      <c r="M3" s="2420"/>
    </row>
    <row r="4" spans="1:16" ht="14.4">
      <c r="A4" s="377" t="s">
        <v>2116</v>
      </c>
      <c r="B4" s="377" t="s">
        <v>2117</v>
      </c>
      <c r="C4" s="377" t="s">
        <v>2118</v>
      </c>
      <c r="D4" s="377" t="s">
        <v>2119</v>
      </c>
      <c r="E4" s="377" t="s">
        <v>2120</v>
      </c>
      <c r="F4" s="377" t="s">
        <v>2121</v>
      </c>
      <c r="H4" s="2421" t="s">
        <v>2122</v>
      </c>
      <c r="I4" s="2421" t="s">
        <v>2136</v>
      </c>
      <c r="J4" s="2422" t="s">
        <v>2250</v>
      </c>
      <c r="K4" s="2424" t="s">
        <v>2123</v>
      </c>
      <c r="L4" s="2424"/>
      <c r="M4" s="2421" t="s">
        <v>911</v>
      </c>
    </row>
    <row r="5" spans="1:16" ht="14.4">
      <c r="G5" s="377" t="s">
        <v>2124</v>
      </c>
      <c r="H5" s="2421"/>
      <c r="I5" s="2421"/>
      <c r="J5" s="2423"/>
      <c r="K5" s="378" t="s">
        <v>2125</v>
      </c>
      <c r="L5" s="378" t="s">
        <v>2126</v>
      </c>
      <c r="M5" s="2421"/>
    </row>
    <row r="6" spans="1:16">
      <c r="G6" s="379">
        <v>574500</v>
      </c>
      <c r="H6" s="380">
        <v>1</v>
      </c>
      <c r="I6" s="381" t="s">
        <v>2137</v>
      </c>
      <c r="J6" s="379">
        <v>17500</v>
      </c>
      <c r="K6" s="379">
        <v>17500</v>
      </c>
      <c r="L6" s="379">
        <f>+J6-K6</f>
        <v>0</v>
      </c>
      <c r="M6" s="379">
        <f t="shared" ref="M6:M22" si="0">+K6+L6</f>
        <v>17500</v>
      </c>
      <c r="O6" s="377">
        <v>3000</v>
      </c>
    </row>
    <row r="7" spans="1:16">
      <c r="G7" s="379">
        <v>356585</v>
      </c>
      <c r="H7" s="380">
        <f>+H6+1</f>
        <v>2</v>
      </c>
      <c r="I7" s="381" t="s">
        <v>2138</v>
      </c>
      <c r="J7" s="379">
        <v>23000</v>
      </c>
      <c r="K7" s="379">
        <v>23000</v>
      </c>
      <c r="L7" s="379">
        <f>+J7-K7</f>
        <v>0</v>
      </c>
      <c r="M7" s="379">
        <f t="shared" si="0"/>
        <v>23000</v>
      </c>
      <c r="O7" s="377">
        <v>3000</v>
      </c>
    </row>
    <row r="8" spans="1:16">
      <c r="A8" s="377" t="s">
        <v>2127</v>
      </c>
      <c r="B8" s="377" t="s">
        <v>2128</v>
      </c>
      <c r="C8" s="377" t="s">
        <v>2129</v>
      </c>
      <c r="D8" s="377" t="s">
        <v>2130</v>
      </c>
      <c r="E8" s="377" t="s">
        <v>2131</v>
      </c>
      <c r="F8" s="377" t="s">
        <v>2132</v>
      </c>
      <c r="G8" s="379">
        <v>249000</v>
      </c>
      <c r="H8" s="380">
        <f t="shared" ref="H8:H21" si="1">+H7+1</f>
        <v>3</v>
      </c>
      <c r="I8" s="381" t="s">
        <v>2139</v>
      </c>
      <c r="J8" s="379">
        <v>34000</v>
      </c>
      <c r="K8" s="379">
        <v>34000</v>
      </c>
      <c r="L8" s="379">
        <f t="shared" ref="L8:L21" si="2">+J8-K8</f>
        <v>0</v>
      </c>
      <c r="M8" s="379">
        <f t="shared" si="0"/>
        <v>34000</v>
      </c>
      <c r="O8" s="377">
        <v>5000</v>
      </c>
      <c r="P8" s="382"/>
    </row>
    <row r="9" spans="1:16">
      <c r="G9" s="379">
        <v>180000</v>
      </c>
      <c r="H9" s="380">
        <f t="shared" si="1"/>
        <v>4</v>
      </c>
      <c r="I9" s="381" t="s">
        <v>205</v>
      </c>
      <c r="J9" s="379">
        <v>34000</v>
      </c>
      <c r="K9" s="379">
        <v>34000</v>
      </c>
      <c r="L9" s="379">
        <f t="shared" si="2"/>
        <v>0</v>
      </c>
      <c r="M9" s="379">
        <f t="shared" si="0"/>
        <v>34000</v>
      </c>
      <c r="O9" s="377">
        <v>2500</v>
      </c>
      <c r="P9" s="382"/>
    </row>
    <row r="10" spans="1:16">
      <c r="G10" s="379">
        <v>32500</v>
      </c>
      <c r="H10" s="380">
        <f t="shared" si="1"/>
        <v>5</v>
      </c>
      <c r="I10" s="381" t="s">
        <v>580</v>
      </c>
      <c r="J10" s="379">
        <v>1000</v>
      </c>
      <c r="K10" s="379">
        <v>1000</v>
      </c>
      <c r="L10" s="379">
        <f t="shared" si="2"/>
        <v>0</v>
      </c>
      <c r="M10" s="379">
        <f t="shared" si="0"/>
        <v>1000</v>
      </c>
    </row>
    <row r="11" spans="1:16" hidden="1">
      <c r="G11" s="379">
        <v>53000</v>
      </c>
      <c r="H11" s="380">
        <f t="shared" si="1"/>
        <v>6</v>
      </c>
      <c r="I11" s="381" t="s">
        <v>246</v>
      </c>
      <c r="J11" s="379">
        <v>27000</v>
      </c>
      <c r="K11" s="379">
        <v>27000</v>
      </c>
      <c r="L11" s="379">
        <f t="shared" si="2"/>
        <v>0</v>
      </c>
      <c r="M11" s="379">
        <f t="shared" si="0"/>
        <v>27000</v>
      </c>
    </row>
    <row r="12" spans="1:16" hidden="1">
      <c r="G12" s="379">
        <v>4000</v>
      </c>
      <c r="H12" s="380">
        <f t="shared" si="1"/>
        <v>7</v>
      </c>
      <c r="I12" s="381" t="s">
        <v>251</v>
      </c>
      <c r="J12" s="379">
        <v>2000</v>
      </c>
      <c r="K12" s="379">
        <v>2000</v>
      </c>
      <c r="L12" s="379">
        <f t="shared" si="2"/>
        <v>0</v>
      </c>
      <c r="M12" s="379">
        <f t="shared" si="0"/>
        <v>2000</v>
      </c>
    </row>
    <row r="13" spans="1:16" hidden="1">
      <c r="A13" s="377" t="s">
        <v>2127</v>
      </c>
      <c r="B13" s="377" t="s">
        <v>2128</v>
      </c>
      <c r="C13" s="377" t="s">
        <v>2129</v>
      </c>
      <c r="D13" s="377" t="s">
        <v>2130</v>
      </c>
      <c r="E13" s="377" t="s">
        <v>2131</v>
      </c>
      <c r="F13" s="377" t="s">
        <v>2133</v>
      </c>
      <c r="G13" s="379">
        <v>4500</v>
      </c>
      <c r="H13" s="380">
        <f t="shared" si="1"/>
        <v>8</v>
      </c>
      <c r="I13" s="381" t="s">
        <v>265</v>
      </c>
      <c r="J13" s="379">
        <v>21000</v>
      </c>
      <c r="K13" s="379">
        <v>21000</v>
      </c>
      <c r="L13" s="379">
        <f t="shared" si="2"/>
        <v>0</v>
      </c>
      <c r="M13" s="379">
        <f t="shared" si="0"/>
        <v>21000</v>
      </c>
    </row>
    <row r="14" spans="1:16">
      <c r="G14" s="379"/>
      <c r="H14" s="380">
        <f t="shared" si="1"/>
        <v>9</v>
      </c>
      <c r="I14" s="381" t="s">
        <v>268</v>
      </c>
      <c r="J14" s="379">
        <v>32000</v>
      </c>
      <c r="K14" s="379">
        <v>32000</v>
      </c>
      <c r="L14" s="379">
        <f t="shared" si="2"/>
        <v>0</v>
      </c>
      <c r="M14" s="379">
        <f t="shared" si="0"/>
        <v>32000</v>
      </c>
    </row>
    <row r="15" spans="1:16">
      <c r="G15" s="379"/>
      <c r="H15" s="380">
        <f t="shared" si="1"/>
        <v>10</v>
      </c>
      <c r="I15" s="381" t="s">
        <v>584</v>
      </c>
      <c r="J15" s="379">
        <v>3000</v>
      </c>
      <c r="K15" s="379">
        <v>3000</v>
      </c>
      <c r="L15" s="379">
        <f t="shared" si="2"/>
        <v>0</v>
      </c>
      <c r="M15" s="379">
        <f t="shared" si="0"/>
        <v>3000</v>
      </c>
    </row>
    <row r="16" spans="1:16">
      <c r="G16" s="379"/>
      <c r="H16" s="380">
        <f t="shared" si="1"/>
        <v>11</v>
      </c>
      <c r="I16" s="381" t="s">
        <v>2140</v>
      </c>
      <c r="J16" s="379">
        <v>27000</v>
      </c>
      <c r="K16" s="379">
        <v>27000</v>
      </c>
      <c r="L16" s="379">
        <f t="shared" si="2"/>
        <v>0</v>
      </c>
      <c r="M16" s="379">
        <f t="shared" si="0"/>
        <v>27000</v>
      </c>
    </row>
    <row r="17" spans="7:17">
      <c r="G17" s="379"/>
      <c r="H17" s="380">
        <f t="shared" si="1"/>
        <v>12</v>
      </c>
      <c r="I17" s="381" t="s">
        <v>274</v>
      </c>
      <c r="J17" s="379">
        <v>14000</v>
      </c>
      <c r="K17" s="379">
        <v>14000</v>
      </c>
      <c r="L17" s="379">
        <f t="shared" si="2"/>
        <v>0</v>
      </c>
      <c r="M17" s="379">
        <f t="shared" si="0"/>
        <v>14000</v>
      </c>
    </row>
    <row r="18" spans="7:17">
      <c r="G18" s="379"/>
      <c r="H18" s="380">
        <f t="shared" si="1"/>
        <v>13</v>
      </c>
      <c r="I18" s="381" t="s">
        <v>40</v>
      </c>
      <c r="J18" s="379">
        <v>7000</v>
      </c>
      <c r="K18" s="379">
        <v>7000</v>
      </c>
      <c r="L18" s="379">
        <f t="shared" si="2"/>
        <v>0</v>
      </c>
      <c r="M18" s="379">
        <f t="shared" si="0"/>
        <v>7000</v>
      </c>
    </row>
    <row r="19" spans="7:17">
      <c r="G19" s="379"/>
      <c r="H19" s="380">
        <f t="shared" si="1"/>
        <v>14</v>
      </c>
      <c r="I19" s="381" t="s">
        <v>612</v>
      </c>
      <c r="J19" s="379">
        <v>7500</v>
      </c>
      <c r="K19" s="379">
        <v>7500</v>
      </c>
      <c r="L19" s="379">
        <f t="shared" si="2"/>
        <v>0</v>
      </c>
      <c r="M19" s="379">
        <f t="shared" si="0"/>
        <v>7500</v>
      </c>
    </row>
    <row r="20" spans="7:17">
      <c r="G20" s="379"/>
      <c r="H20" s="380">
        <f t="shared" si="1"/>
        <v>15</v>
      </c>
      <c r="I20" s="381" t="s">
        <v>400</v>
      </c>
      <c r="J20" s="379">
        <v>27000</v>
      </c>
      <c r="K20" s="379">
        <v>27000</v>
      </c>
      <c r="L20" s="379">
        <f t="shared" si="2"/>
        <v>0</v>
      </c>
      <c r="M20" s="379">
        <f t="shared" si="0"/>
        <v>27000</v>
      </c>
    </row>
    <row r="21" spans="7:17">
      <c r="G21" s="379"/>
      <c r="H21" s="380">
        <f t="shared" si="1"/>
        <v>16</v>
      </c>
      <c r="I21" s="381" t="s">
        <v>404</v>
      </c>
      <c r="J21" s="379">
        <v>67000</v>
      </c>
      <c r="K21" s="379">
        <v>67000</v>
      </c>
      <c r="L21" s="379">
        <f t="shared" si="2"/>
        <v>0</v>
      </c>
      <c r="M21" s="379">
        <f t="shared" si="0"/>
        <v>67000</v>
      </c>
      <c r="P21" s="377">
        <f>3000*12</f>
        <v>36000</v>
      </c>
      <c r="Q21" s="377">
        <f>67000/3000</f>
        <v>22.333333333333332</v>
      </c>
    </row>
    <row r="22" spans="7:17" hidden="1">
      <c r="G22" s="379">
        <v>32000</v>
      </c>
      <c r="H22" s="380">
        <v>11</v>
      </c>
      <c r="I22" s="381" t="s">
        <v>2134</v>
      </c>
      <c r="J22" s="379"/>
      <c r="K22" s="379"/>
      <c r="L22" s="379"/>
      <c r="M22" s="379">
        <f t="shared" si="0"/>
        <v>0</v>
      </c>
    </row>
    <row r="23" spans="7:17" s="386" customFormat="1" ht="14.4">
      <c r="G23" s="383">
        <f>SUM(G6:G22)</f>
        <v>1486085</v>
      </c>
      <c r="H23" s="384"/>
      <c r="I23" s="384"/>
      <c r="J23" s="385">
        <f>SUM(J6:J22)</f>
        <v>344000</v>
      </c>
      <c r="K23" s="385">
        <f>SUM(K6:K22)</f>
        <v>344000</v>
      </c>
      <c r="L23" s="385">
        <f>SUM(L6:L22)</f>
        <v>0</v>
      </c>
      <c r="M23" s="385">
        <f>SUM(M6:M22)</f>
        <v>344000</v>
      </c>
      <c r="O23" s="377"/>
    </row>
    <row r="25" spans="7:17">
      <c r="M25" s="382">
        <f>+J23-M23</f>
        <v>0</v>
      </c>
    </row>
  </sheetData>
  <mergeCells count="7">
    <mergeCell ref="H2:M2"/>
    <mergeCell ref="H3:M3"/>
    <mergeCell ref="H4:H5"/>
    <mergeCell ref="I4:I5"/>
    <mergeCell ref="J4:J5"/>
    <mergeCell ref="K4:L4"/>
    <mergeCell ref="M4:M5"/>
  </mergeCells>
  <pageMargins left="0.7" right="0.7" top="0.75" bottom="0.75" header="0.3" footer="0.3"/>
  <pageSetup scale="91" orientation="portrait" r:id="rId1"/>
  <colBreaks count="1" manualBreakCount="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3:F13"/>
  <sheetViews>
    <sheetView showGridLines="0" zoomScaleNormal="100" workbookViewId="0">
      <selection activeCell="H46" sqref="H46"/>
    </sheetView>
  </sheetViews>
  <sheetFormatPr defaultColWidth="8.88671875" defaultRowHeight="13.2"/>
  <cols>
    <col min="1" max="1" width="8.88671875" style="612"/>
    <col min="2" max="2" width="7.6640625" style="612" bestFit="1" customWidth="1"/>
    <col min="3" max="3" width="48.88671875" style="612" customWidth="1"/>
    <col min="4" max="4" width="18.109375" style="613" customWidth="1"/>
    <col min="5" max="5" width="39.33203125" style="612" customWidth="1"/>
    <col min="6" max="6" width="18.6640625" style="612" customWidth="1"/>
    <col min="7" max="16384" width="8.88671875" style="612"/>
  </cols>
  <sheetData>
    <row r="3" spans="2:6">
      <c r="B3" s="611" t="s">
        <v>785</v>
      </c>
      <c r="E3" s="614"/>
    </row>
    <row r="4" spans="2:6">
      <c r="B4" s="616" t="s">
        <v>2319</v>
      </c>
      <c r="D4" s="617"/>
      <c r="E4" s="616"/>
      <c r="F4" s="615"/>
    </row>
    <row r="5" spans="2:6">
      <c r="B5" s="618" t="s">
        <v>2320</v>
      </c>
      <c r="C5" s="618" t="s">
        <v>2321</v>
      </c>
      <c r="D5" s="619" t="s">
        <v>2152</v>
      </c>
      <c r="E5" s="618" t="s">
        <v>2322</v>
      </c>
      <c r="F5" s="618" t="s">
        <v>2323</v>
      </c>
    </row>
    <row r="6" spans="2:6" ht="15.6">
      <c r="B6" s="622">
        <v>1</v>
      </c>
      <c r="C6" s="623" t="s">
        <v>2324</v>
      </c>
      <c r="D6" s="625">
        <v>328133</v>
      </c>
      <c r="E6" s="623" t="s">
        <v>2325</v>
      </c>
      <c r="F6" s="623" t="s">
        <v>2326</v>
      </c>
    </row>
    <row r="7" spans="2:6" ht="15.6">
      <c r="B7" s="622">
        <v>2</v>
      </c>
      <c r="C7" s="623" t="s">
        <v>2327</v>
      </c>
      <c r="D7" s="625">
        <v>5000</v>
      </c>
      <c r="E7" s="623" t="s">
        <v>2328</v>
      </c>
      <c r="F7" s="623" t="s">
        <v>2326</v>
      </c>
    </row>
    <row r="8" spans="2:6" ht="15.6">
      <c r="B8" s="622">
        <v>3</v>
      </c>
      <c r="C8" s="623" t="s">
        <v>2329</v>
      </c>
      <c r="D8" s="625">
        <v>204000</v>
      </c>
      <c r="E8" s="623" t="s">
        <v>2330</v>
      </c>
      <c r="F8" s="623" t="s">
        <v>2326</v>
      </c>
    </row>
    <row r="9" spans="2:6" ht="15.6">
      <c r="B9" s="622">
        <v>4</v>
      </c>
      <c r="C9" s="623" t="s">
        <v>2331</v>
      </c>
      <c r="D9" s="625">
        <v>4200</v>
      </c>
      <c r="E9" s="623" t="s">
        <v>2332</v>
      </c>
      <c r="F9" s="624" t="s">
        <v>2333</v>
      </c>
    </row>
    <row r="10" spans="2:6" ht="46.8">
      <c r="B10" s="622">
        <v>5</v>
      </c>
      <c r="C10" s="623" t="s">
        <v>2334</v>
      </c>
      <c r="D10" s="625">
        <v>175000</v>
      </c>
      <c r="E10" s="620" t="s">
        <v>2335</v>
      </c>
      <c r="F10" s="623" t="s">
        <v>2336</v>
      </c>
    </row>
    <row r="11" spans="2:6" ht="15.6">
      <c r="B11" s="622">
        <v>6</v>
      </c>
      <c r="C11" s="623" t="s">
        <v>2337</v>
      </c>
      <c r="D11" s="625">
        <v>9980</v>
      </c>
      <c r="E11" s="620" t="s">
        <v>2338</v>
      </c>
      <c r="F11" s="623" t="s">
        <v>2339</v>
      </c>
    </row>
    <row r="12" spans="2:6" ht="15.6">
      <c r="B12" s="622">
        <v>6</v>
      </c>
      <c r="C12" s="623" t="s">
        <v>2340</v>
      </c>
      <c r="D12" s="625">
        <v>7945972</v>
      </c>
      <c r="E12" s="623" t="s">
        <v>2341</v>
      </c>
      <c r="F12" s="623" t="s">
        <v>2342</v>
      </c>
    </row>
    <row r="13" spans="2:6" ht="15.6">
      <c r="B13" s="621"/>
      <c r="C13" s="621"/>
      <c r="D13" s="626">
        <f>SUM(D6:D12)</f>
        <v>8672285</v>
      </c>
      <c r="E13" s="621"/>
      <c r="F13" s="621"/>
    </row>
  </sheetData>
  <pageMargins left="0.31496062992125984" right="0.31496062992125984" top="0.74803149606299213" bottom="0.74803149606299213" header="0.31496062992125984" footer="0.31496062992125984"/>
  <pageSetup paperSize="9" scale="8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3:V79"/>
  <sheetViews>
    <sheetView view="pageBreakPreview" topLeftCell="A4" zoomScale="80" zoomScaleNormal="65" zoomScaleSheetLayoutView="80" workbookViewId="0">
      <selection activeCell="A57" sqref="A57"/>
    </sheetView>
  </sheetViews>
  <sheetFormatPr defaultColWidth="8" defaultRowHeight="14.4"/>
  <cols>
    <col min="1" max="1" width="9.109375" style="676" customWidth="1"/>
    <col min="2" max="2" width="8" style="675" customWidth="1"/>
    <col min="3" max="3" width="30.6640625" style="676" customWidth="1"/>
    <col min="4" max="4" width="17.44140625" style="676" customWidth="1"/>
    <col min="5" max="5" width="19.88671875" style="676" bestFit="1" customWidth="1"/>
    <col min="6" max="6" width="18" style="677" bestFit="1" customWidth="1"/>
    <col min="7" max="7" width="17.33203125" style="676" bestFit="1" customWidth="1"/>
    <col min="8" max="8" width="18.44140625" style="676" hidden="1" customWidth="1"/>
    <col min="9" max="9" width="20" style="676" hidden="1" customWidth="1"/>
    <col min="10" max="10" width="15.109375" style="676" bestFit="1" customWidth="1"/>
    <col min="11" max="11" width="18.5546875" style="676" bestFit="1" customWidth="1"/>
    <col min="12" max="12" width="18" style="676" customWidth="1"/>
    <col min="13" max="13" width="23.33203125" style="676" customWidth="1"/>
    <col min="14" max="14" width="25.88671875" style="676" customWidth="1"/>
    <col min="15" max="15" width="22.33203125" style="676" customWidth="1"/>
    <col min="16" max="16" width="20.44140625" style="676" bestFit="1" customWidth="1"/>
    <col min="17" max="17" width="21.88671875" style="676" customWidth="1"/>
    <col min="18" max="16384" width="8" style="676"/>
  </cols>
  <sheetData>
    <row r="3" spans="2:17">
      <c r="L3" s="742"/>
      <c r="M3" s="742"/>
    </row>
    <row r="4" spans="2:17">
      <c r="B4" s="2428" t="s">
        <v>2397</v>
      </c>
      <c r="C4" s="2429"/>
      <c r="D4" s="2429"/>
      <c r="E4" s="2429"/>
      <c r="F4" s="2429"/>
      <c r="G4" s="2429"/>
      <c r="H4" s="2429"/>
      <c r="I4" s="2429"/>
      <c r="J4" s="2429"/>
      <c r="K4" s="2429"/>
      <c r="L4" s="2429"/>
      <c r="M4" s="2429"/>
      <c r="N4" s="2429"/>
      <c r="O4" s="2429"/>
      <c r="P4" s="2429"/>
      <c r="Q4" s="2430"/>
    </row>
    <row r="5" spans="2:17">
      <c r="B5" s="743"/>
      <c r="C5" s="744"/>
      <c r="D5" s="744"/>
      <c r="E5" s="744"/>
      <c r="F5" s="678"/>
      <c r="G5" s="744"/>
      <c r="H5" s="744"/>
      <c r="I5" s="744"/>
      <c r="J5" s="744"/>
      <c r="K5" s="744"/>
      <c r="L5" s="744"/>
      <c r="M5" s="744"/>
      <c r="N5" s="744"/>
      <c r="O5" s="744"/>
      <c r="P5" s="744"/>
      <c r="Q5" s="745"/>
    </row>
    <row r="6" spans="2:17">
      <c r="B6" s="2431" t="s">
        <v>2398</v>
      </c>
      <c r="C6" s="2432"/>
      <c r="D6" s="2432"/>
      <c r="E6" s="2432"/>
      <c r="F6" s="2432"/>
      <c r="G6" s="2432"/>
      <c r="H6" s="2432"/>
      <c r="I6" s="2432"/>
      <c r="J6" s="2432"/>
      <c r="K6" s="2432"/>
      <c r="L6" s="2432"/>
      <c r="M6" s="2432"/>
      <c r="N6" s="2432"/>
      <c r="O6" s="2432"/>
      <c r="P6" s="2432"/>
      <c r="Q6" s="2433"/>
    </row>
    <row r="7" spans="2:17">
      <c r="B7" s="746"/>
      <c r="C7" s="747"/>
      <c r="D7" s="747"/>
      <c r="E7" s="747"/>
      <c r="F7" s="678"/>
      <c r="G7" s="747"/>
      <c r="H7" s="747"/>
      <c r="I7" s="747"/>
      <c r="J7" s="747"/>
      <c r="K7" s="747"/>
      <c r="L7" s="747"/>
      <c r="M7" s="747"/>
      <c r="N7" s="747"/>
      <c r="O7" s="747"/>
      <c r="P7" s="747"/>
      <c r="Q7" s="745"/>
    </row>
    <row r="8" spans="2:17">
      <c r="B8" s="2434" t="s">
        <v>2399</v>
      </c>
      <c r="C8" s="2435"/>
      <c r="D8" s="2435"/>
      <c r="E8" s="2435"/>
      <c r="F8" s="2435"/>
      <c r="G8" s="2435"/>
      <c r="H8" s="2435"/>
      <c r="I8" s="2435"/>
      <c r="J8" s="2435"/>
      <c r="K8" s="2435"/>
      <c r="L8" s="2435"/>
      <c r="M8" s="2435"/>
      <c r="N8" s="2435"/>
      <c r="O8" s="2435"/>
      <c r="P8" s="2435"/>
      <c r="Q8" s="2436"/>
    </row>
    <row r="9" spans="2:17">
      <c r="B9" s="743"/>
      <c r="C9" s="744"/>
      <c r="D9" s="744"/>
      <c r="E9" s="744"/>
      <c r="F9" s="678"/>
      <c r="G9" s="744"/>
      <c r="H9" s="744"/>
      <c r="I9" s="744"/>
      <c r="J9" s="744"/>
      <c r="K9" s="744"/>
      <c r="L9" s="744"/>
      <c r="M9" s="744"/>
      <c r="N9" s="744"/>
      <c r="O9" s="744"/>
      <c r="P9" s="744"/>
      <c r="Q9" s="745"/>
    </row>
    <row r="10" spans="2:17">
      <c r="B10" s="2437" t="s">
        <v>2400</v>
      </c>
      <c r="C10" s="2438"/>
      <c r="D10" s="2438"/>
      <c r="E10" s="2438"/>
      <c r="F10" s="2438"/>
      <c r="G10" s="2438"/>
      <c r="H10" s="2438"/>
      <c r="I10" s="2438"/>
      <c r="J10" s="2438"/>
      <c r="K10" s="2438"/>
      <c r="L10" s="2438"/>
      <c r="M10" s="2438"/>
      <c r="N10" s="2438"/>
      <c r="O10" s="2438"/>
      <c r="P10" s="2438"/>
      <c r="Q10" s="2439"/>
    </row>
    <row r="11" spans="2:17">
      <c r="B11" s="679"/>
      <c r="C11" s="678"/>
      <c r="D11" s="678"/>
      <c r="E11" s="678"/>
      <c r="F11" s="678"/>
      <c r="G11" s="678"/>
      <c r="H11" s="678"/>
      <c r="I11" s="678"/>
      <c r="J11" s="678"/>
      <c r="K11" s="678"/>
      <c r="L11" s="678"/>
      <c r="M11" s="678"/>
      <c r="N11" s="678"/>
      <c r="O11" s="678"/>
      <c r="P11" s="678"/>
      <c r="Q11" s="745"/>
    </row>
    <row r="12" spans="2:17">
      <c r="B12" s="2437" t="s">
        <v>2401</v>
      </c>
      <c r="C12" s="2438"/>
      <c r="D12" s="2438"/>
      <c r="E12" s="2438"/>
      <c r="F12" s="2438"/>
      <c r="G12" s="2438"/>
      <c r="H12" s="2438"/>
      <c r="I12" s="2438"/>
      <c r="J12" s="2438"/>
      <c r="K12" s="2438"/>
      <c r="L12" s="2438"/>
      <c r="M12" s="2438"/>
      <c r="N12" s="2438"/>
      <c r="O12" s="2438"/>
      <c r="P12" s="2438"/>
      <c r="Q12" s="2439"/>
    </row>
    <row r="13" spans="2:17">
      <c r="B13" s="748"/>
      <c r="C13" s="680"/>
      <c r="D13" s="681"/>
      <c r="E13" s="680"/>
      <c r="F13" s="680"/>
      <c r="G13" s="680"/>
      <c r="H13" s="680"/>
      <c r="I13" s="680"/>
      <c r="J13" s="680"/>
      <c r="K13" s="680"/>
      <c r="L13" s="680"/>
      <c r="M13" s="680"/>
      <c r="N13" s="680"/>
      <c r="O13" s="680"/>
      <c r="P13" s="680"/>
      <c r="Q13" s="745"/>
    </row>
    <row r="14" spans="2:17">
      <c r="B14" s="682" t="s">
        <v>2122</v>
      </c>
      <c r="C14" s="683" t="s">
        <v>2402</v>
      </c>
      <c r="D14" s="684" t="s">
        <v>2403</v>
      </c>
      <c r="E14" s="685" t="s">
        <v>2404</v>
      </c>
      <c r="F14" s="2440" t="s">
        <v>2358</v>
      </c>
      <c r="G14" s="2441"/>
      <c r="H14" s="2442" t="s">
        <v>2405</v>
      </c>
      <c r="I14" s="2443"/>
      <c r="J14" s="686" t="s">
        <v>2406</v>
      </c>
      <c r="K14" s="685" t="s">
        <v>911</v>
      </c>
      <c r="L14" s="685" t="s">
        <v>2407</v>
      </c>
      <c r="M14" s="2425" t="s">
        <v>2408</v>
      </c>
      <c r="N14" s="2425" t="s">
        <v>2409</v>
      </c>
      <c r="O14" s="2425" t="s">
        <v>2410</v>
      </c>
      <c r="P14" s="685" t="s">
        <v>2411</v>
      </c>
      <c r="Q14" s="2425" t="s">
        <v>2412</v>
      </c>
    </row>
    <row r="15" spans="2:17">
      <c r="B15" s="687"/>
      <c r="C15" s="688"/>
      <c r="D15" s="689" t="s">
        <v>2413</v>
      </c>
      <c r="E15" s="689" t="s">
        <v>2448</v>
      </c>
      <c r="F15" s="678" t="s">
        <v>2414</v>
      </c>
      <c r="G15" s="689" t="s">
        <v>2415</v>
      </c>
      <c r="H15" s="678" t="s">
        <v>2414</v>
      </c>
      <c r="I15" s="689" t="s">
        <v>2415</v>
      </c>
      <c r="J15" s="689"/>
      <c r="K15" s="688"/>
      <c r="L15" s="689" t="s">
        <v>2416</v>
      </c>
      <c r="M15" s="2426"/>
      <c r="N15" s="2426"/>
      <c r="O15" s="2426"/>
      <c r="P15" s="690">
        <v>45016</v>
      </c>
      <c r="Q15" s="2426"/>
    </row>
    <row r="16" spans="2:17">
      <c r="B16" s="691"/>
      <c r="C16" s="692"/>
      <c r="D16" s="693"/>
      <c r="E16" s="692"/>
      <c r="F16" s="694" t="s">
        <v>2417</v>
      </c>
      <c r="G16" s="694" t="s">
        <v>2417</v>
      </c>
      <c r="H16" s="694" t="s">
        <v>2417</v>
      </c>
      <c r="I16" s="694" t="s">
        <v>2417</v>
      </c>
      <c r="J16" s="694"/>
      <c r="K16" s="692"/>
      <c r="L16" s="695" t="s">
        <v>991</v>
      </c>
      <c r="M16" s="2427"/>
      <c r="N16" s="2427"/>
      <c r="O16" s="2427"/>
      <c r="P16" s="692"/>
      <c r="Q16" s="2427"/>
    </row>
    <row r="17" spans="2:17">
      <c r="B17" s="696"/>
      <c r="C17" s="749"/>
      <c r="D17" s="697"/>
      <c r="E17" s="698"/>
      <c r="F17" s="698"/>
      <c r="G17" s="698"/>
      <c r="H17" s="698"/>
      <c r="I17" s="698"/>
      <c r="J17" s="698"/>
      <c r="K17" s="698"/>
      <c r="L17" s="689"/>
      <c r="M17" s="689"/>
      <c r="N17" s="689"/>
      <c r="O17" s="689"/>
      <c r="P17" s="698"/>
      <c r="Q17" s="750"/>
    </row>
    <row r="18" spans="2:17">
      <c r="B18" s="699"/>
      <c r="C18" s="700" t="s">
        <v>2418</v>
      </c>
      <c r="D18" s="701"/>
      <c r="E18" s="698"/>
      <c r="F18" s="698"/>
      <c r="G18" s="698"/>
      <c r="H18" s="698"/>
      <c r="I18" s="698"/>
      <c r="J18" s="698"/>
      <c r="K18" s="698"/>
      <c r="L18" s="689"/>
      <c r="M18" s="689"/>
      <c r="N18" s="689"/>
      <c r="O18" s="689"/>
      <c r="P18" s="698"/>
      <c r="Q18" s="750"/>
    </row>
    <row r="19" spans="2:17">
      <c r="B19" s="702">
        <v>1</v>
      </c>
      <c r="C19" s="703" t="s">
        <v>1250</v>
      </c>
      <c r="D19" s="704">
        <v>0</v>
      </c>
      <c r="E19" s="705">
        <v>1156704</v>
      </c>
      <c r="F19" s="705">
        <v>0</v>
      </c>
      <c r="G19" s="705">
        <v>0</v>
      </c>
      <c r="H19" s="705">
        <v>0</v>
      </c>
      <c r="I19" s="705">
        <v>0</v>
      </c>
      <c r="J19" s="705">
        <v>0</v>
      </c>
      <c r="K19" s="705">
        <f>SUM(F19:G19)</f>
        <v>0</v>
      </c>
      <c r="L19" s="706">
        <f>+((E19+F19-J19)*D19+(G19*D19/2))</f>
        <v>0</v>
      </c>
      <c r="M19" s="706">
        <v>0</v>
      </c>
      <c r="N19" s="706">
        <v>0</v>
      </c>
      <c r="O19" s="706">
        <f>SUM(L19:N19)</f>
        <v>0</v>
      </c>
      <c r="P19" s="705">
        <f>+E19+K19-L19</f>
        <v>1156704</v>
      </c>
      <c r="Q19" s="706">
        <v>0</v>
      </c>
    </row>
    <row r="20" spans="2:17">
      <c r="B20" s="707"/>
      <c r="C20" s="751"/>
      <c r="D20" s="692"/>
      <c r="E20" s="698"/>
      <c r="F20" s="698"/>
      <c r="G20" s="698"/>
      <c r="H20" s="698"/>
      <c r="I20" s="698"/>
      <c r="J20" s="698"/>
      <c r="K20" s="698"/>
      <c r="L20" s="689"/>
      <c r="M20" s="689"/>
      <c r="N20" s="689"/>
      <c r="O20" s="689"/>
      <c r="P20" s="698"/>
      <c r="Q20" s="750"/>
    </row>
    <row r="21" spans="2:17">
      <c r="B21" s="702"/>
      <c r="C21" s="708" t="s">
        <v>2419</v>
      </c>
      <c r="D21" s="709"/>
      <c r="E21" s="710">
        <f t="shared" ref="E21:P21" si="0">SUM(E19:E20)</f>
        <v>1156704</v>
      </c>
      <c r="F21" s="710">
        <f t="shared" si="0"/>
        <v>0</v>
      </c>
      <c r="G21" s="710">
        <f t="shared" si="0"/>
        <v>0</v>
      </c>
      <c r="H21" s="710">
        <f t="shared" si="0"/>
        <v>0</v>
      </c>
      <c r="I21" s="710">
        <f t="shared" si="0"/>
        <v>0</v>
      </c>
      <c r="J21" s="710">
        <f t="shared" si="0"/>
        <v>0</v>
      </c>
      <c r="K21" s="710">
        <f>SUM(K19:K20)</f>
        <v>0</v>
      </c>
      <c r="L21" s="710">
        <f t="shared" si="0"/>
        <v>0</v>
      </c>
      <c r="M21" s="710">
        <f t="shared" si="0"/>
        <v>0</v>
      </c>
      <c r="N21" s="710">
        <f t="shared" si="0"/>
        <v>0</v>
      </c>
      <c r="O21" s="710">
        <f>O19</f>
        <v>0</v>
      </c>
      <c r="P21" s="710">
        <f t="shared" si="0"/>
        <v>1156704</v>
      </c>
      <c r="Q21" s="710">
        <f>SUM(Q19:Q20)</f>
        <v>0</v>
      </c>
    </row>
    <row r="22" spans="2:17">
      <c r="B22" s="696"/>
      <c r="C22" s="749"/>
      <c r="D22" s="697"/>
      <c r="E22" s="698"/>
      <c r="F22" s="698"/>
      <c r="G22" s="698"/>
      <c r="H22" s="698"/>
      <c r="I22" s="698"/>
      <c r="J22" s="698"/>
      <c r="K22" s="698"/>
      <c r="L22" s="689"/>
      <c r="M22" s="689"/>
      <c r="N22" s="689"/>
      <c r="O22" s="689"/>
      <c r="P22" s="698"/>
      <c r="Q22" s="750"/>
    </row>
    <row r="23" spans="2:17">
      <c r="B23" s="699"/>
      <c r="C23" s="700" t="s">
        <v>2420</v>
      </c>
      <c r="D23" s="701"/>
      <c r="E23" s="698"/>
      <c r="F23" s="698"/>
      <c r="G23" s="711"/>
      <c r="H23" s="711"/>
      <c r="I23" s="711"/>
      <c r="J23" s="698"/>
      <c r="K23" s="698"/>
      <c r="L23" s="689"/>
      <c r="M23" s="689"/>
      <c r="N23" s="689"/>
      <c r="O23" s="689"/>
      <c r="P23" s="698"/>
      <c r="Q23" s="689"/>
    </row>
    <row r="24" spans="2:17">
      <c r="B24" s="702">
        <v>2</v>
      </c>
      <c r="C24" s="703" t="s">
        <v>81</v>
      </c>
      <c r="D24" s="704">
        <v>0.1</v>
      </c>
      <c r="E24" s="705">
        <v>21148457.34210353</v>
      </c>
      <c r="F24" s="705">
        <v>2830332</v>
      </c>
      <c r="G24" s="712">
        <v>0</v>
      </c>
      <c r="H24" s="712">
        <v>0</v>
      </c>
      <c r="I24" s="712">
        <v>0</v>
      </c>
      <c r="J24" s="705">
        <v>0</v>
      </c>
      <c r="K24" s="705">
        <f>SUM(F24:G24)-J24</f>
        <v>2830332</v>
      </c>
      <c r="L24" s="706">
        <f>+((E24+F24-J24)*D24)+(G24*D24/2)</f>
        <v>2397878.9342103531</v>
      </c>
      <c r="M24" s="706">
        <v>0</v>
      </c>
      <c r="N24" s="706">
        <v>0</v>
      </c>
      <c r="O24" s="706">
        <f>SUM(L24:N24)</f>
        <v>2397878.9342103531</v>
      </c>
      <c r="P24" s="705">
        <f>+E24+K24-L24</f>
        <v>21580910.407893177</v>
      </c>
      <c r="Q24" s="706">
        <v>0</v>
      </c>
    </row>
    <row r="25" spans="2:17">
      <c r="B25" s="707"/>
      <c r="C25" s="751"/>
      <c r="D25" s="692"/>
      <c r="E25" s="698"/>
      <c r="F25" s="698"/>
      <c r="G25" s="698"/>
      <c r="H25" s="698"/>
      <c r="I25" s="698"/>
      <c r="J25" s="698"/>
      <c r="K25" s="698"/>
      <c r="L25" s="689"/>
      <c r="M25" s="689"/>
      <c r="N25" s="689"/>
      <c r="O25" s="689"/>
      <c r="P25" s="698"/>
      <c r="Q25" s="750"/>
    </row>
    <row r="26" spans="2:17">
      <c r="B26" s="702"/>
      <c r="C26" s="708" t="s">
        <v>2421</v>
      </c>
      <c r="D26" s="709"/>
      <c r="E26" s="710">
        <f t="shared" ref="E26:P26" si="1">+E24</f>
        <v>21148457.34210353</v>
      </c>
      <c r="F26" s="710">
        <f>+F24</f>
        <v>2830332</v>
      </c>
      <c r="G26" s="710">
        <f t="shared" si="1"/>
        <v>0</v>
      </c>
      <c r="H26" s="710"/>
      <c r="I26" s="710"/>
      <c r="J26" s="710">
        <f>J24</f>
        <v>0</v>
      </c>
      <c r="K26" s="710">
        <f t="shared" si="1"/>
        <v>2830332</v>
      </c>
      <c r="L26" s="710">
        <f>+L24</f>
        <v>2397878.9342103531</v>
      </c>
      <c r="M26" s="710">
        <f t="shared" si="1"/>
        <v>0</v>
      </c>
      <c r="N26" s="710">
        <f t="shared" si="1"/>
        <v>0</v>
      </c>
      <c r="O26" s="710">
        <f>O24</f>
        <v>2397878.9342103531</v>
      </c>
      <c r="P26" s="710">
        <f t="shared" si="1"/>
        <v>21580910.407893177</v>
      </c>
      <c r="Q26" s="710">
        <f>+Q24</f>
        <v>0</v>
      </c>
    </row>
    <row r="27" spans="2:17">
      <c r="B27" s="696"/>
      <c r="C27" s="749"/>
      <c r="D27" s="697"/>
      <c r="E27" s="698"/>
      <c r="F27" s="698"/>
      <c r="G27" s="698"/>
      <c r="H27" s="698"/>
      <c r="I27" s="698"/>
      <c r="J27" s="698"/>
      <c r="K27" s="698"/>
      <c r="L27" s="689"/>
      <c r="M27" s="689"/>
      <c r="N27" s="689"/>
      <c r="O27" s="689"/>
      <c r="P27" s="698"/>
      <c r="Q27" s="750"/>
    </row>
    <row r="28" spans="2:17">
      <c r="B28" s="713"/>
      <c r="C28" s="700" t="s">
        <v>2422</v>
      </c>
      <c r="D28" s="714"/>
      <c r="E28" s="705"/>
      <c r="F28" s="712"/>
      <c r="G28" s="711"/>
      <c r="H28" s="711"/>
      <c r="I28" s="711"/>
      <c r="J28" s="711"/>
      <c r="K28" s="715"/>
      <c r="L28" s="716"/>
      <c r="M28" s="716"/>
      <c r="N28" s="716"/>
      <c r="O28" s="716"/>
      <c r="P28" s="705"/>
      <c r="Q28" s="716"/>
    </row>
    <row r="29" spans="2:17">
      <c r="B29" s="713">
        <v>3</v>
      </c>
      <c r="C29" s="703" t="s">
        <v>2423</v>
      </c>
      <c r="D29" s="704">
        <v>0.1</v>
      </c>
      <c r="E29" s="705">
        <v>590486.76272742264</v>
      </c>
      <c r="F29" s="712">
        <v>0</v>
      </c>
      <c r="G29" s="712">
        <v>540632</v>
      </c>
      <c r="H29" s="712">
        <v>0</v>
      </c>
      <c r="I29" s="712">
        <v>0</v>
      </c>
      <c r="J29" s="712">
        <v>0</v>
      </c>
      <c r="K29" s="705">
        <f>SUM(F29:G29)-J29</f>
        <v>540632</v>
      </c>
      <c r="L29" s="706">
        <f>+((E29+F29-J29)*D29)+(G29*D29/2)</f>
        <v>86080.276272742267</v>
      </c>
      <c r="M29" s="706">
        <v>0</v>
      </c>
      <c r="N29" s="706">
        <v>0</v>
      </c>
      <c r="O29" s="706">
        <f>SUM(L29:N29)</f>
        <v>86080.276272742267</v>
      </c>
      <c r="P29" s="705">
        <f>+E29+K29-L29</f>
        <v>1045038.4864546803</v>
      </c>
      <c r="Q29" s="706">
        <v>0</v>
      </c>
    </row>
    <row r="30" spans="2:17">
      <c r="B30" s="713"/>
      <c r="C30" s="717"/>
      <c r="D30" s="704"/>
      <c r="E30" s="705"/>
      <c r="F30" s="712"/>
      <c r="G30" s="712"/>
      <c r="H30" s="712"/>
      <c r="I30" s="712"/>
      <c r="J30" s="712"/>
      <c r="K30" s="705"/>
      <c r="L30" s="706"/>
      <c r="M30" s="706"/>
      <c r="N30" s="706"/>
      <c r="O30" s="706"/>
      <c r="P30" s="705"/>
      <c r="Q30" s="706"/>
    </row>
    <row r="31" spans="2:17">
      <c r="B31" s="718"/>
      <c r="C31" s="708" t="s">
        <v>911</v>
      </c>
      <c r="D31" s="719"/>
      <c r="E31" s="710">
        <f>E29</f>
        <v>590486.76272742264</v>
      </c>
      <c r="F31" s="710">
        <f t="shared" ref="F31:Q31" si="2">F29</f>
        <v>0</v>
      </c>
      <c r="G31" s="710">
        <f t="shared" si="2"/>
        <v>540632</v>
      </c>
      <c r="H31" s="710">
        <f t="shared" si="2"/>
        <v>0</v>
      </c>
      <c r="I31" s="710">
        <f t="shared" si="2"/>
        <v>0</v>
      </c>
      <c r="J31" s="710">
        <f t="shared" si="2"/>
        <v>0</v>
      </c>
      <c r="K31" s="710">
        <f t="shared" si="2"/>
        <v>540632</v>
      </c>
      <c r="L31" s="710">
        <f t="shared" si="2"/>
        <v>86080.276272742267</v>
      </c>
      <c r="M31" s="710">
        <f t="shared" si="2"/>
        <v>0</v>
      </c>
      <c r="N31" s="710">
        <f t="shared" si="2"/>
        <v>0</v>
      </c>
      <c r="O31" s="710">
        <f>O29</f>
        <v>86080.276272742267</v>
      </c>
      <c r="P31" s="710">
        <f t="shared" si="2"/>
        <v>1045038.4864546803</v>
      </c>
      <c r="Q31" s="710">
        <f t="shared" si="2"/>
        <v>0</v>
      </c>
    </row>
    <row r="32" spans="2:17">
      <c r="B32" s="720"/>
      <c r="C32" s="750"/>
      <c r="D32" s="721"/>
      <c r="E32" s="721"/>
      <c r="F32" s="698"/>
      <c r="G32" s="698"/>
      <c r="H32" s="698"/>
      <c r="I32" s="698"/>
      <c r="J32" s="698"/>
      <c r="K32" s="698"/>
      <c r="L32" s="689"/>
      <c r="M32" s="689"/>
      <c r="N32" s="689"/>
      <c r="O32" s="689"/>
      <c r="P32" s="698"/>
      <c r="Q32" s="750"/>
    </row>
    <row r="33" spans="2:17">
      <c r="B33" s="687">
        <v>4</v>
      </c>
      <c r="C33" s="722" t="s">
        <v>2424</v>
      </c>
      <c r="D33" s="704">
        <v>0.1</v>
      </c>
      <c r="E33" s="705">
        <v>11861724.156724099</v>
      </c>
      <c r="F33" s="712">
        <v>98460</v>
      </c>
      <c r="G33" s="712"/>
      <c r="H33" s="712">
        <v>0</v>
      </c>
      <c r="I33" s="712">
        <v>0</v>
      </c>
      <c r="J33" s="723"/>
      <c r="K33" s="705">
        <f>SUM(F33:G33)-J33</f>
        <v>98460</v>
      </c>
      <c r="L33" s="706">
        <f>+((E33+F33-J33)*D33)+(G33*D33/2)</f>
        <v>1196018.41567241</v>
      </c>
      <c r="M33" s="706">
        <v>0</v>
      </c>
      <c r="N33" s="706">
        <v>0</v>
      </c>
      <c r="O33" s="706">
        <f>SUM(L33:N33)</f>
        <v>1196018.41567241</v>
      </c>
      <c r="P33" s="705">
        <f>+E33+K33-L33</f>
        <v>10764165.741051689</v>
      </c>
      <c r="Q33" s="706">
        <v>0</v>
      </c>
    </row>
    <row r="34" spans="2:17">
      <c r="B34" s="720"/>
      <c r="C34" s="750"/>
      <c r="D34" s="721"/>
      <c r="E34" s="721"/>
      <c r="F34" s="698"/>
      <c r="G34" s="698"/>
      <c r="H34" s="698"/>
      <c r="I34" s="698"/>
      <c r="J34" s="698"/>
      <c r="K34" s="698"/>
      <c r="L34" s="689"/>
      <c r="M34" s="689"/>
      <c r="N34" s="689"/>
      <c r="O34" s="689"/>
      <c r="P34" s="698"/>
      <c r="Q34" s="750"/>
    </row>
    <row r="35" spans="2:17">
      <c r="B35" s="718"/>
      <c r="C35" s="752" t="s">
        <v>911</v>
      </c>
      <c r="D35" s="724"/>
      <c r="E35" s="710">
        <f>E33</f>
        <v>11861724.156724099</v>
      </c>
      <c r="F35" s="710">
        <f t="shared" ref="F35:Q35" si="3">F33</f>
        <v>98460</v>
      </c>
      <c r="G35" s="710">
        <f t="shared" si="3"/>
        <v>0</v>
      </c>
      <c r="H35" s="710">
        <f t="shared" si="3"/>
        <v>0</v>
      </c>
      <c r="I35" s="710">
        <f t="shared" si="3"/>
        <v>0</v>
      </c>
      <c r="J35" s="710">
        <f t="shared" si="3"/>
        <v>0</v>
      </c>
      <c r="K35" s="710">
        <f t="shared" si="3"/>
        <v>98460</v>
      </c>
      <c r="L35" s="710">
        <f t="shared" si="3"/>
        <v>1196018.41567241</v>
      </c>
      <c r="M35" s="710">
        <f t="shared" si="3"/>
        <v>0</v>
      </c>
      <c r="N35" s="710">
        <f t="shared" si="3"/>
        <v>0</v>
      </c>
      <c r="O35" s="710">
        <f>O33</f>
        <v>1196018.41567241</v>
      </c>
      <c r="P35" s="710">
        <f t="shared" si="3"/>
        <v>10764165.741051689</v>
      </c>
      <c r="Q35" s="710">
        <f t="shared" si="3"/>
        <v>0</v>
      </c>
    </row>
    <row r="36" spans="2:17" s="726" customFormat="1">
      <c r="B36" s="713"/>
      <c r="C36" s="708" t="s">
        <v>2425</v>
      </c>
      <c r="D36" s="725"/>
      <c r="E36" s="710">
        <f>E35+E31</f>
        <v>12452210.919451522</v>
      </c>
      <c r="F36" s="710">
        <f t="shared" ref="F36:Q36" si="4">F35+F31</f>
        <v>98460</v>
      </c>
      <c r="G36" s="710">
        <f t="shared" si="4"/>
        <v>540632</v>
      </c>
      <c r="H36" s="710">
        <f t="shared" si="4"/>
        <v>0</v>
      </c>
      <c r="I36" s="710">
        <f t="shared" si="4"/>
        <v>0</v>
      </c>
      <c r="J36" s="710">
        <f t="shared" si="4"/>
        <v>0</v>
      </c>
      <c r="K36" s="710">
        <f t="shared" si="4"/>
        <v>639092</v>
      </c>
      <c r="L36" s="710">
        <f t="shared" si="4"/>
        <v>1282098.6919451524</v>
      </c>
      <c r="M36" s="710">
        <f t="shared" si="4"/>
        <v>0</v>
      </c>
      <c r="N36" s="710">
        <f t="shared" si="4"/>
        <v>0</v>
      </c>
      <c r="O36" s="710">
        <f>O35+O31</f>
        <v>1282098.6919451524</v>
      </c>
      <c r="P36" s="710">
        <f t="shared" si="4"/>
        <v>11809204.227506369</v>
      </c>
      <c r="Q36" s="710">
        <f t="shared" si="4"/>
        <v>0</v>
      </c>
    </row>
    <row r="37" spans="2:17">
      <c r="B37" s="696"/>
      <c r="C37" s="749"/>
      <c r="D37" s="697"/>
      <c r="E37" s="698"/>
      <c r="F37" s="698"/>
      <c r="G37" s="698"/>
      <c r="H37" s="698"/>
      <c r="I37" s="698"/>
      <c r="J37" s="698"/>
      <c r="K37" s="698"/>
      <c r="L37" s="689"/>
      <c r="M37" s="689"/>
      <c r="N37" s="689"/>
      <c r="O37" s="689"/>
      <c r="P37" s="698"/>
      <c r="Q37" s="750"/>
    </row>
    <row r="38" spans="2:17">
      <c r="B38" s="753"/>
      <c r="C38" s="700" t="s">
        <v>2426</v>
      </c>
      <c r="D38" s="727"/>
      <c r="E38" s="705"/>
      <c r="F38" s="728"/>
      <c r="G38" s="728"/>
      <c r="H38" s="728"/>
      <c r="I38" s="728"/>
      <c r="J38" s="728"/>
      <c r="K38" s="728"/>
      <c r="L38" s="705"/>
      <c r="M38" s="705"/>
      <c r="N38" s="705"/>
      <c r="O38" s="705"/>
      <c r="P38" s="705"/>
      <c r="Q38" s="705"/>
    </row>
    <row r="39" spans="2:17">
      <c r="B39" s="713">
        <v>5</v>
      </c>
      <c r="C39" s="703" t="s">
        <v>2427</v>
      </c>
      <c r="D39" s="729">
        <v>0.15</v>
      </c>
      <c r="E39" s="705">
        <v>2182973.0268116971</v>
      </c>
      <c r="F39" s="705">
        <v>0</v>
      </c>
      <c r="G39" s="728">
        <v>0</v>
      </c>
      <c r="H39" s="728">
        <v>0</v>
      </c>
      <c r="I39" s="728">
        <v>0</v>
      </c>
      <c r="J39" s="728">
        <v>0</v>
      </c>
      <c r="K39" s="705">
        <f>SUM(F39:G39)-J39</f>
        <v>0</v>
      </c>
      <c r="L39" s="706">
        <f>+((E39+F39-J39)*D39)+(G39*D39/2)</f>
        <v>327445.95402175456</v>
      </c>
      <c r="M39" s="706">
        <v>0</v>
      </c>
      <c r="N39" s="706">
        <v>0</v>
      </c>
      <c r="O39" s="706">
        <f>SUM(L39:N39)</f>
        <v>327445.95402175456</v>
      </c>
      <c r="P39" s="705">
        <f>+E39+K39-L39</f>
        <v>1855527.0727899424</v>
      </c>
      <c r="Q39" s="706">
        <v>0</v>
      </c>
    </row>
    <row r="40" spans="2:17">
      <c r="B40" s="707"/>
      <c r="C40" s="751"/>
      <c r="D40" s="692"/>
      <c r="E40" s="698"/>
      <c r="F40" s="698"/>
      <c r="G40" s="698"/>
      <c r="H40" s="698"/>
      <c r="I40" s="698"/>
      <c r="J40" s="698"/>
      <c r="K40" s="698"/>
      <c r="L40" s="689"/>
      <c r="M40" s="689"/>
      <c r="N40" s="689"/>
      <c r="O40" s="689"/>
      <c r="P40" s="698"/>
      <c r="Q40" s="750"/>
    </row>
    <row r="41" spans="2:17">
      <c r="B41" s="702"/>
      <c r="C41" s="708" t="s">
        <v>2428</v>
      </c>
      <c r="D41" s="730"/>
      <c r="E41" s="710">
        <f t="shared" ref="E41:N41" si="5">+E39</f>
        <v>2182973.0268116971</v>
      </c>
      <c r="F41" s="710">
        <f t="shared" si="5"/>
        <v>0</v>
      </c>
      <c r="G41" s="710">
        <f t="shared" si="5"/>
        <v>0</v>
      </c>
      <c r="H41" s="710">
        <f t="shared" si="5"/>
        <v>0</v>
      </c>
      <c r="I41" s="710">
        <f t="shared" si="5"/>
        <v>0</v>
      </c>
      <c r="J41" s="710">
        <f t="shared" si="5"/>
        <v>0</v>
      </c>
      <c r="K41" s="710">
        <f t="shared" si="5"/>
        <v>0</v>
      </c>
      <c r="L41" s="710">
        <f t="shared" si="5"/>
        <v>327445.95402175456</v>
      </c>
      <c r="M41" s="710">
        <f t="shared" si="5"/>
        <v>0</v>
      </c>
      <c r="N41" s="710">
        <f t="shared" si="5"/>
        <v>0</v>
      </c>
      <c r="O41" s="710">
        <f>O39</f>
        <v>327445.95402175456</v>
      </c>
      <c r="P41" s="710">
        <f>+P39</f>
        <v>1855527.0727899424</v>
      </c>
      <c r="Q41" s="710">
        <f>+Q39</f>
        <v>0</v>
      </c>
    </row>
    <row r="42" spans="2:17">
      <c r="B42" s="696"/>
      <c r="C42" s="749"/>
      <c r="D42" s="697"/>
      <c r="E42" s="698"/>
      <c r="F42" s="698"/>
      <c r="G42" s="698"/>
      <c r="H42" s="698"/>
      <c r="I42" s="698"/>
      <c r="J42" s="698"/>
      <c r="K42" s="698"/>
      <c r="L42" s="689"/>
      <c r="M42" s="689"/>
      <c r="N42" s="689"/>
      <c r="O42" s="689"/>
      <c r="P42" s="698"/>
      <c r="Q42" s="750"/>
    </row>
    <row r="43" spans="2:17">
      <c r="B43" s="713">
        <v>6</v>
      </c>
      <c r="C43" s="731" t="s">
        <v>2429</v>
      </c>
      <c r="D43" s="727"/>
      <c r="E43" s="705"/>
      <c r="F43" s="712"/>
      <c r="G43" s="711"/>
      <c r="H43" s="711"/>
      <c r="I43" s="711"/>
      <c r="J43" s="711"/>
      <c r="K43" s="715"/>
      <c r="L43" s="716"/>
      <c r="M43" s="716"/>
      <c r="N43" s="716"/>
      <c r="O43" s="716"/>
      <c r="P43" s="705"/>
      <c r="Q43" s="750"/>
    </row>
    <row r="44" spans="2:17">
      <c r="B44" s="702" t="s">
        <v>2430</v>
      </c>
      <c r="C44" s="703" t="s">
        <v>302</v>
      </c>
      <c r="D44" s="704">
        <v>0.15</v>
      </c>
      <c r="E44" s="705">
        <v>53947396.533</v>
      </c>
      <c r="F44" s="680">
        <v>63178</v>
      </c>
      <c r="G44" s="705">
        <v>0</v>
      </c>
      <c r="H44" s="705">
        <v>0</v>
      </c>
      <c r="I44" s="705">
        <v>0</v>
      </c>
      <c r="J44" s="705">
        <v>0</v>
      </c>
      <c r="K44" s="705">
        <f>SUM(F44:G44)-J44-I44</f>
        <v>63178</v>
      </c>
      <c r="L44" s="706">
        <f>+((E44+F44-J44)*D44)+(G44*D44/2)</f>
        <v>8101586.1799499998</v>
      </c>
      <c r="M44" s="705">
        <v>0</v>
      </c>
      <c r="N44" s="705">
        <v>0</v>
      </c>
      <c r="O44" s="706">
        <f>SUM(L44:N44)</f>
        <v>8101586.1799499998</v>
      </c>
      <c r="P44" s="705">
        <f>+E44+K44-L44-M44-N44</f>
        <v>45908988.353050001</v>
      </c>
      <c r="Q44" s="706">
        <v>0</v>
      </c>
    </row>
    <row r="45" spans="2:17">
      <c r="B45" s="702" t="s">
        <v>2431</v>
      </c>
      <c r="C45" s="732" t="s">
        <v>2432</v>
      </c>
      <c r="D45" s="729">
        <v>0.15</v>
      </c>
      <c r="E45" s="705">
        <v>1352378.1540585938</v>
      </c>
      <c r="F45" s="680">
        <v>0</v>
      </c>
      <c r="G45" s="705">
        <v>0</v>
      </c>
      <c r="H45" s="705"/>
      <c r="I45" s="705"/>
      <c r="J45" s="705">
        <v>0</v>
      </c>
      <c r="K45" s="705">
        <f>SUM(F45:G45)-J45</f>
        <v>0</v>
      </c>
      <c r="L45" s="706">
        <f>+((E45+F45-J45)*D45)+(G45*D45/2)</f>
        <v>202856.72310878907</v>
      </c>
      <c r="M45" s="706">
        <v>0</v>
      </c>
      <c r="N45" s="706">
        <v>0</v>
      </c>
      <c r="O45" s="706">
        <f t="shared" ref="O45:O47" si="6">SUM(L45:N45)</f>
        <v>202856.72310878907</v>
      </c>
      <c r="P45" s="705">
        <f t="shared" ref="P45:P47" si="7">+E45+K45-L45-M45-N45</f>
        <v>1149521.4309498048</v>
      </c>
      <c r="Q45" s="706">
        <v>0</v>
      </c>
    </row>
    <row r="46" spans="2:17">
      <c r="B46" s="702" t="s">
        <v>2433</v>
      </c>
      <c r="C46" s="732" t="s">
        <v>2434</v>
      </c>
      <c r="D46" s="729">
        <v>0.4</v>
      </c>
      <c r="E46" s="705">
        <v>682700.47487999988</v>
      </c>
      <c r="F46" s="680">
        <v>0</v>
      </c>
      <c r="G46" s="705">
        <v>0</v>
      </c>
      <c r="H46" s="705"/>
      <c r="I46" s="705"/>
      <c r="J46" s="705">
        <v>0</v>
      </c>
      <c r="K46" s="705">
        <f>SUM(F46:G46)-J46</f>
        <v>0</v>
      </c>
      <c r="L46" s="706">
        <f>+((E46+F46-J46)*D46)+(G46*D46/2)</f>
        <v>273080.18995199999</v>
      </c>
      <c r="M46" s="705">
        <f>((F46*20%)+(G46+I46)*10%)</f>
        <v>0</v>
      </c>
      <c r="N46" s="705">
        <v>0</v>
      </c>
      <c r="O46" s="706">
        <f t="shared" si="6"/>
        <v>273080.18995199999</v>
      </c>
      <c r="P46" s="705">
        <f t="shared" si="7"/>
        <v>409620.28492799989</v>
      </c>
      <c r="Q46" s="706">
        <f>(G46+I46)*10%</f>
        <v>0</v>
      </c>
    </row>
    <row r="47" spans="2:17">
      <c r="B47" s="702" t="s">
        <v>2435</v>
      </c>
      <c r="C47" s="732" t="s">
        <v>2436</v>
      </c>
      <c r="D47" s="729">
        <v>0.15</v>
      </c>
      <c r="E47" s="705">
        <v>0</v>
      </c>
      <c r="F47" s="680">
        <v>0</v>
      </c>
      <c r="G47" s="705">
        <v>0</v>
      </c>
      <c r="H47" s="705"/>
      <c r="I47" s="705"/>
      <c r="J47" s="705">
        <v>0</v>
      </c>
      <c r="K47" s="705">
        <v>0</v>
      </c>
      <c r="L47" s="706">
        <f>+((E47+F47-J47)*D47)+(G47*D47/2)</f>
        <v>0</v>
      </c>
      <c r="M47" s="705">
        <v>0</v>
      </c>
      <c r="N47" s="705">
        <v>0</v>
      </c>
      <c r="O47" s="706">
        <f t="shared" si="6"/>
        <v>0</v>
      </c>
      <c r="P47" s="705">
        <f t="shared" si="7"/>
        <v>0</v>
      </c>
      <c r="Q47" s="706">
        <f>(G47+I47)*10%</f>
        <v>0</v>
      </c>
    </row>
    <row r="48" spans="2:17">
      <c r="B48" s="707"/>
      <c r="C48" s="751"/>
      <c r="D48" s="692"/>
      <c r="E48" s="698"/>
      <c r="F48" s="698"/>
      <c r="G48" s="698"/>
      <c r="H48" s="698"/>
      <c r="I48" s="698"/>
      <c r="J48" s="698"/>
      <c r="K48" s="698"/>
      <c r="L48" s="689"/>
      <c r="M48" s="689"/>
      <c r="N48" s="689"/>
      <c r="O48" s="689"/>
      <c r="P48" s="698"/>
      <c r="Q48" s="750"/>
    </row>
    <row r="49" spans="2:22">
      <c r="B49" s="702"/>
      <c r="C49" s="708" t="s">
        <v>911</v>
      </c>
      <c r="D49" s="709"/>
      <c r="E49" s="710">
        <f>+SUM(E44:E46)</f>
        <v>55982475.161938593</v>
      </c>
      <c r="F49" s="710">
        <f>+SUM(F44:F46)</f>
        <v>63178</v>
      </c>
      <c r="G49" s="710">
        <f>+SUM(G44:G46)</f>
        <v>0</v>
      </c>
      <c r="H49" s="710">
        <f t="shared" ref="H49:M49" si="8">+H44</f>
        <v>0</v>
      </c>
      <c r="I49" s="710">
        <f t="shared" si="8"/>
        <v>0</v>
      </c>
      <c r="J49" s="710">
        <f t="shared" si="8"/>
        <v>0</v>
      </c>
      <c r="K49" s="710">
        <f t="shared" si="8"/>
        <v>63178</v>
      </c>
      <c r="L49" s="710">
        <f>+SUM(L44:L46)</f>
        <v>8577523.0930107888</v>
      </c>
      <c r="M49" s="710">
        <f t="shared" si="8"/>
        <v>0</v>
      </c>
      <c r="N49" s="710">
        <f>+N44+N46</f>
        <v>0</v>
      </c>
      <c r="O49" s="710">
        <f>+SUM(O44:O46)</f>
        <v>8577523.0930107888</v>
      </c>
      <c r="P49" s="710">
        <f>+SUM(P44:P46)</f>
        <v>47468130.06892781</v>
      </c>
      <c r="Q49" s="710">
        <f>+SUM(Q44:Q46)</f>
        <v>0</v>
      </c>
    </row>
    <row r="50" spans="2:22">
      <c r="B50" s="696"/>
      <c r="C50" s="749"/>
      <c r="D50" s="697"/>
      <c r="E50" s="698"/>
      <c r="F50" s="698"/>
      <c r="G50" s="698"/>
      <c r="H50" s="698"/>
      <c r="I50" s="698"/>
      <c r="J50" s="698"/>
      <c r="K50" s="698"/>
      <c r="L50" s="689"/>
      <c r="M50" s="689"/>
      <c r="N50" s="689"/>
      <c r="O50" s="689"/>
      <c r="P50" s="698"/>
      <c r="Q50" s="750"/>
    </row>
    <row r="51" spans="2:22">
      <c r="B51" s="702">
        <v>7</v>
      </c>
      <c r="C51" s="703" t="s">
        <v>1224</v>
      </c>
      <c r="D51" s="704">
        <v>0.15</v>
      </c>
      <c r="E51" s="705">
        <v>564459.35161738342</v>
      </c>
      <c r="F51" s="680">
        <v>0</v>
      </c>
      <c r="G51" s="705">
        <v>0</v>
      </c>
      <c r="H51" s="705">
        <v>0</v>
      </c>
      <c r="I51" s="705">
        <v>0</v>
      </c>
      <c r="J51" s="705">
        <v>0</v>
      </c>
      <c r="K51" s="705">
        <f>SUM(F51:G51)-J51</f>
        <v>0</v>
      </c>
      <c r="L51" s="706">
        <f>+((E51+F51-J51)*D51)+(G51*D51/2)</f>
        <v>84668.902742607504</v>
      </c>
      <c r="M51" s="706">
        <v>0</v>
      </c>
      <c r="N51" s="706">
        <v>0</v>
      </c>
      <c r="O51" s="706">
        <f>SUM(L51:N51)</f>
        <v>84668.902742607504</v>
      </c>
      <c r="P51" s="705">
        <f>+E51+K51-L51</f>
        <v>479790.4488747759</v>
      </c>
      <c r="Q51" s="706">
        <v>0</v>
      </c>
    </row>
    <row r="52" spans="2:22">
      <c r="B52" s="707"/>
      <c r="C52" s="751"/>
      <c r="D52" s="692"/>
      <c r="E52" s="698"/>
      <c r="F52" s="698"/>
      <c r="G52" s="698"/>
      <c r="H52" s="698"/>
      <c r="I52" s="698"/>
      <c r="J52" s="698"/>
      <c r="K52" s="698"/>
      <c r="L52" s="689"/>
      <c r="M52" s="689"/>
      <c r="N52" s="689"/>
      <c r="O52" s="689"/>
      <c r="P52" s="698"/>
      <c r="Q52" s="750"/>
    </row>
    <row r="53" spans="2:22">
      <c r="B53" s="733"/>
      <c r="C53" s="734" t="s">
        <v>911</v>
      </c>
      <c r="D53" s="735"/>
      <c r="E53" s="710">
        <f t="shared" ref="E53:Q53" si="9">+E51</f>
        <v>564459.35161738342</v>
      </c>
      <c r="F53" s="710">
        <f>+F51</f>
        <v>0</v>
      </c>
      <c r="G53" s="710">
        <f>+G51</f>
        <v>0</v>
      </c>
      <c r="H53" s="710"/>
      <c r="I53" s="710"/>
      <c r="J53" s="710">
        <f t="shared" si="9"/>
        <v>0</v>
      </c>
      <c r="K53" s="710">
        <f t="shared" si="9"/>
        <v>0</v>
      </c>
      <c r="L53" s="710">
        <f t="shared" si="9"/>
        <v>84668.902742607504</v>
      </c>
      <c r="M53" s="710">
        <f t="shared" si="9"/>
        <v>0</v>
      </c>
      <c r="N53" s="710">
        <f t="shared" si="9"/>
        <v>0</v>
      </c>
      <c r="O53" s="710">
        <f>O51</f>
        <v>84668.902742607504</v>
      </c>
      <c r="P53" s="710">
        <f t="shared" si="9"/>
        <v>479790.4488747759</v>
      </c>
      <c r="Q53" s="710">
        <f t="shared" si="9"/>
        <v>0</v>
      </c>
    </row>
    <row r="54" spans="2:22">
      <c r="B54" s="702"/>
      <c r="C54" s="708" t="s">
        <v>2437</v>
      </c>
      <c r="D54" s="709"/>
      <c r="E54" s="710">
        <f>+E49+E53</f>
        <v>56546934.513555974</v>
      </c>
      <c r="F54" s="710">
        <f t="shared" ref="F54:Q54" si="10">+F49+F53</f>
        <v>63178</v>
      </c>
      <c r="G54" s="710">
        <f t="shared" si="10"/>
        <v>0</v>
      </c>
      <c r="H54" s="710">
        <f t="shared" si="10"/>
        <v>0</v>
      </c>
      <c r="I54" s="710">
        <f t="shared" si="10"/>
        <v>0</v>
      </c>
      <c r="J54" s="710">
        <f t="shared" si="10"/>
        <v>0</v>
      </c>
      <c r="K54" s="710">
        <f t="shared" si="10"/>
        <v>63178</v>
      </c>
      <c r="L54" s="710">
        <f t="shared" si="10"/>
        <v>8662191.9957533963</v>
      </c>
      <c r="M54" s="710">
        <f t="shared" si="10"/>
        <v>0</v>
      </c>
      <c r="N54" s="710">
        <f t="shared" si="10"/>
        <v>0</v>
      </c>
      <c r="O54" s="710">
        <f>O53+O49</f>
        <v>8662191.9957533963</v>
      </c>
      <c r="P54" s="710">
        <f t="shared" si="10"/>
        <v>47947920.517802589</v>
      </c>
      <c r="Q54" s="710">
        <f t="shared" si="10"/>
        <v>0</v>
      </c>
    </row>
    <row r="55" spans="2:22">
      <c r="B55" s="696"/>
      <c r="C55" s="749"/>
      <c r="D55" s="697"/>
      <c r="E55" s="698"/>
      <c r="F55" s="698"/>
      <c r="G55" s="698"/>
      <c r="H55" s="698"/>
      <c r="I55" s="698"/>
      <c r="J55" s="698"/>
      <c r="K55" s="698"/>
      <c r="L55" s="689"/>
      <c r="M55" s="689"/>
      <c r="N55" s="689"/>
      <c r="O55" s="689"/>
      <c r="P55" s="698"/>
      <c r="Q55" s="750"/>
    </row>
    <row r="56" spans="2:22">
      <c r="B56" s="736"/>
      <c r="C56" s="700" t="s">
        <v>2438</v>
      </c>
      <c r="D56" s="737"/>
      <c r="E56" s="705"/>
      <c r="F56" s="705"/>
      <c r="G56" s="754"/>
      <c r="H56" s="754"/>
      <c r="I56" s="754"/>
      <c r="J56" s="754"/>
      <c r="K56" s="705"/>
      <c r="L56" s="705"/>
      <c r="M56" s="705"/>
      <c r="N56" s="705"/>
      <c r="O56" s="705"/>
      <c r="P56" s="705"/>
      <c r="Q56" s="750"/>
    </row>
    <row r="57" spans="2:22">
      <c r="B57" s="736">
        <v>8</v>
      </c>
      <c r="C57" s="703" t="s">
        <v>1223</v>
      </c>
      <c r="D57" s="704">
        <v>0.4</v>
      </c>
      <c r="E57" s="705">
        <v>98658.846758320127</v>
      </c>
      <c r="F57" s="705">
        <v>29800</v>
      </c>
      <c r="G57" s="755">
        <v>0</v>
      </c>
      <c r="H57" s="755">
        <v>0</v>
      </c>
      <c r="I57" s="755">
        <v>0</v>
      </c>
      <c r="J57" s="755">
        <v>0</v>
      </c>
      <c r="K57" s="705">
        <f>SUM(F57:G57)-J57</f>
        <v>29800</v>
      </c>
      <c r="L57" s="706">
        <f>+((E57+F57-J57)*D57)+(G57*D57/2)</f>
        <v>51383.538703328057</v>
      </c>
      <c r="M57" s="706">
        <v>0</v>
      </c>
      <c r="N57" s="706">
        <v>0</v>
      </c>
      <c r="O57" s="706">
        <f>SUM(L57:N57)</f>
        <v>51383.538703328057</v>
      </c>
      <c r="P57" s="705">
        <f>+E57+K57-L57</f>
        <v>77075.308054992071</v>
      </c>
      <c r="Q57" s="706">
        <v>0</v>
      </c>
      <c r="V57" s="676">
        <v>57344</v>
      </c>
    </row>
    <row r="58" spans="2:22">
      <c r="B58" s="707"/>
      <c r="C58" s="751"/>
      <c r="D58" s="692"/>
      <c r="E58" s="698"/>
      <c r="F58" s="698"/>
      <c r="G58" s="698"/>
      <c r="H58" s="698"/>
      <c r="I58" s="698"/>
      <c r="J58" s="698"/>
      <c r="K58" s="698"/>
      <c r="L58" s="689"/>
      <c r="M58" s="689"/>
      <c r="N58" s="689"/>
      <c r="O58" s="689"/>
      <c r="P58" s="698"/>
      <c r="Q58" s="750"/>
    </row>
    <row r="59" spans="2:22">
      <c r="B59" s="736"/>
      <c r="C59" s="708" t="s">
        <v>2439</v>
      </c>
      <c r="D59" s="738"/>
      <c r="E59" s="710">
        <f t="shared" ref="E59:N59" si="11">+E57</f>
        <v>98658.846758320127</v>
      </c>
      <c r="F59" s="710">
        <f t="shared" si="11"/>
        <v>29800</v>
      </c>
      <c r="G59" s="710">
        <f t="shared" si="11"/>
        <v>0</v>
      </c>
      <c r="H59" s="710">
        <f t="shared" si="11"/>
        <v>0</v>
      </c>
      <c r="I59" s="710">
        <f t="shared" si="11"/>
        <v>0</v>
      </c>
      <c r="J59" s="710">
        <f t="shared" si="11"/>
        <v>0</v>
      </c>
      <c r="K59" s="710">
        <f t="shared" si="11"/>
        <v>29800</v>
      </c>
      <c r="L59" s="710">
        <f>+L57</f>
        <v>51383.538703328057</v>
      </c>
      <c r="M59" s="710">
        <f t="shared" si="11"/>
        <v>0</v>
      </c>
      <c r="N59" s="710">
        <f t="shared" si="11"/>
        <v>0</v>
      </c>
      <c r="O59" s="710">
        <f>O57</f>
        <v>51383.538703328057</v>
      </c>
      <c r="P59" s="710">
        <f>+P57</f>
        <v>77075.308054992071</v>
      </c>
      <c r="Q59" s="710">
        <f>+Q57</f>
        <v>0</v>
      </c>
    </row>
    <row r="60" spans="2:22">
      <c r="B60" s="696"/>
      <c r="C60" s="749"/>
      <c r="D60" s="697"/>
      <c r="E60" s="698"/>
      <c r="F60" s="698"/>
      <c r="G60" s="698"/>
      <c r="H60" s="698"/>
      <c r="I60" s="698"/>
      <c r="J60" s="698"/>
      <c r="K60" s="698"/>
      <c r="L60" s="689"/>
      <c r="M60" s="689"/>
      <c r="N60" s="689"/>
      <c r="O60" s="689"/>
      <c r="P60" s="698"/>
      <c r="Q60" s="750"/>
    </row>
    <row r="61" spans="2:22">
      <c r="B61" s="739"/>
      <c r="C61" s="734" t="s">
        <v>665</v>
      </c>
      <c r="D61" s="740"/>
      <c r="E61" s="710">
        <f>+E59+E54+E41+E36+E26+E21</f>
        <v>93585938.648681045</v>
      </c>
      <c r="F61" s="710">
        <f>F21+F26+F36+F41+F54++F59</f>
        <v>3021770</v>
      </c>
      <c r="G61" s="710">
        <f>G21+G26+G36+G41+G54++G59</f>
        <v>540632</v>
      </c>
      <c r="H61" s="710">
        <f t="shared" ref="H61:J61" si="12">+H59+H54+H41+H36+H26+H21</f>
        <v>0</v>
      </c>
      <c r="I61" s="710">
        <f t="shared" si="12"/>
        <v>0</v>
      </c>
      <c r="J61" s="710">
        <f t="shared" si="12"/>
        <v>0</v>
      </c>
      <c r="K61" s="710">
        <f t="shared" ref="K61:Q61" si="13">+(K59+K54+K41+K36+K26+K21)</f>
        <v>3562402</v>
      </c>
      <c r="L61" s="710">
        <f>+(L59+L54+L41+L36+L26+L21)</f>
        <v>12720999.114633983</v>
      </c>
      <c r="M61" s="710">
        <f>+(M59+M54+M41+M36+M26+M21)</f>
        <v>0</v>
      </c>
      <c r="N61" s="710">
        <f t="shared" si="13"/>
        <v>0</v>
      </c>
      <c r="O61" s="710">
        <f>+(O59+O54+O41+O36+O26+O21)</f>
        <v>12720999.114633983</v>
      </c>
      <c r="P61" s="710">
        <f t="shared" si="13"/>
        <v>84427341.534047067</v>
      </c>
      <c r="Q61" s="710">
        <f t="shared" si="13"/>
        <v>0</v>
      </c>
    </row>
    <row r="62" spans="2:22">
      <c r="D62" s="726"/>
      <c r="E62" s="726">
        <v>96781637</v>
      </c>
      <c r="G62" s="677"/>
      <c r="H62" s="677"/>
      <c r="I62" s="726"/>
      <c r="J62" s="726"/>
      <c r="K62" s="677"/>
      <c r="P62" s="726"/>
    </row>
    <row r="63" spans="2:22">
      <c r="E63" s="726">
        <f>+E61-E62</f>
        <v>-3195698.3513189554</v>
      </c>
      <c r="G63" s="677"/>
      <c r="H63" s="677"/>
      <c r="I63" s="677"/>
      <c r="J63" s="726"/>
      <c r="K63" s="726"/>
      <c r="L63" s="756"/>
      <c r="N63" s="726"/>
      <c r="O63" s="676">
        <v>15076098</v>
      </c>
      <c r="P63" s="726">
        <v>92429235</v>
      </c>
    </row>
    <row r="64" spans="2:22">
      <c r="E64" s="726">
        <f>E63-E62</f>
        <v>-99977335.351318955</v>
      </c>
      <c r="F64" s="677">
        <f>F61+G61-F63</f>
        <v>3562402</v>
      </c>
      <c r="G64" s="677"/>
      <c r="H64" s="677"/>
      <c r="I64" s="726"/>
      <c r="J64" s="726"/>
      <c r="K64" s="757"/>
      <c r="L64" s="758"/>
      <c r="M64" s="758"/>
      <c r="N64" s="758"/>
      <c r="O64" s="758">
        <f>+O61-O63</f>
        <v>-2355098.885366017</v>
      </c>
      <c r="P64" s="758">
        <f>+P61-P63</f>
        <v>-8001893.4659529328</v>
      </c>
      <c r="Q64" s="726"/>
    </row>
    <row r="65" spans="2:16">
      <c r="C65" s="759" t="s">
        <v>2440</v>
      </c>
      <c r="K65" s="726"/>
      <c r="M65" s="758"/>
      <c r="P65" s="726"/>
    </row>
    <row r="66" spans="2:16" s="675" customFormat="1">
      <c r="D66" s="744" t="s">
        <v>1228</v>
      </c>
      <c r="E66" s="744" t="s">
        <v>2255</v>
      </c>
      <c r="F66" s="744" t="s">
        <v>2441</v>
      </c>
      <c r="P66" s="760"/>
    </row>
    <row r="67" spans="2:16">
      <c r="C67" s="726" t="s">
        <v>2442</v>
      </c>
      <c r="D67" s="761">
        <f>F44</f>
        <v>63178</v>
      </c>
      <c r="E67" s="762">
        <v>0.2</v>
      </c>
      <c r="F67" s="761">
        <f>D67*E67</f>
        <v>12635.6</v>
      </c>
    </row>
    <row r="68" spans="2:16">
      <c r="B68" s="676"/>
      <c r="C68" s="726" t="s">
        <v>2443</v>
      </c>
      <c r="D68" s="761">
        <f>G44</f>
        <v>0</v>
      </c>
      <c r="E68" s="762">
        <v>0.1</v>
      </c>
      <c r="F68" s="761">
        <f>D68*E68</f>
        <v>0</v>
      </c>
    </row>
    <row r="69" spans="2:16">
      <c r="B69" s="676"/>
      <c r="D69" s="759"/>
      <c r="F69" s="761"/>
    </row>
    <row r="70" spans="2:16" ht="15" thickBot="1">
      <c r="B70" s="676"/>
      <c r="D70" s="759"/>
      <c r="F70" s="780">
        <f>SUM(F67:F69)</f>
        <v>12635.6</v>
      </c>
    </row>
    <row r="71" spans="2:16" ht="15" thickTop="1">
      <c r="B71" s="676"/>
      <c r="C71" s="676" t="s">
        <v>2444</v>
      </c>
      <c r="F71" s="677">
        <f>F68</f>
        <v>0</v>
      </c>
    </row>
    <row r="73" spans="2:16">
      <c r="B73" s="676"/>
      <c r="C73" s="759" t="s">
        <v>2445</v>
      </c>
    </row>
    <row r="74" spans="2:16">
      <c r="B74" s="676"/>
      <c r="C74" s="676" t="s">
        <v>2446</v>
      </c>
    </row>
    <row r="75" spans="2:16">
      <c r="B75" s="676"/>
      <c r="C75" s="676" t="s">
        <v>2447</v>
      </c>
      <c r="D75" s="677">
        <v>3039211</v>
      </c>
      <c r="E75" s="762">
        <v>0.1</v>
      </c>
      <c r="F75" s="677">
        <f>D75*E75</f>
        <v>303921.10000000003</v>
      </c>
    </row>
    <row r="76" spans="2:16">
      <c r="B76" s="676"/>
      <c r="D76" s="677"/>
      <c r="F76" s="676"/>
    </row>
    <row r="77" spans="2:16">
      <c r="B77" s="676"/>
      <c r="C77" s="741"/>
      <c r="D77" s="677"/>
      <c r="F77" s="676"/>
    </row>
    <row r="78" spans="2:16">
      <c r="B78" s="676"/>
      <c r="C78" s="741"/>
      <c r="D78" s="677"/>
      <c r="F78" s="676"/>
    </row>
    <row r="79" spans="2:16">
      <c r="B79" s="676"/>
      <c r="E79" s="759"/>
    </row>
  </sheetData>
  <mergeCells count="11">
    <mergeCell ref="Q14:Q16"/>
    <mergeCell ref="B4:Q4"/>
    <mergeCell ref="B6:Q6"/>
    <mergeCell ref="B8:Q8"/>
    <mergeCell ref="B10:Q10"/>
    <mergeCell ref="B12:Q12"/>
    <mergeCell ref="F14:G14"/>
    <mergeCell ref="H14:I14"/>
    <mergeCell ref="M14:M16"/>
    <mergeCell ref="N14:N16"/>
    <mergeCell ref="O14:O16"/>
  </mergeCells>
  <hyperlinks>
    <hyperlink ref="B8:P8" location="'3CD '!E96" display="ANNEXURE A" xr:uid="{00000000-0004-0000-2200-000000000000}"/>
  </hyperlinks>
  <printOptions horizontalCentered="1" verticalCentered="1"/>
  <pageMargins left="0.11811023622047245" right="0.11811023622047245" top="0.15748031496062992" bottom="0.15748031496062992" header="0.31496062992125984" footer="0.31496062992125984"/>
  <pageSetup scale="4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filterMode="1"/>
  <dimension ref="B4:J96"/>
  <sheetViews>
    <sheetView zoomScaleNormal="100" workbookViewId="0">
      <selection activeCell="C89" sqref="C89"/>
    </sheetView>
  </sheetViews>
  <sheetFormatPr defaultRowHeight="15.6"/>
  <cols>
    <col min="1" max="1" width="4.33203125" customWidth="1"/>
    <col min="2" max="2" width="9.33203125" bestFit="1" customWidth="1"/>
    <col min="3" max="3" width="65.44140625" style="804" customWidth="1"/>
    <col min="4" max="4" width="26" style="804" hidden="1" customWidth="1"/>
    <col min="5" max="5" width="16.6640625" style="1093" customWidth="1"/>
    <col min="6" max="6" width="13.44140625" style="1093" customWidth="1"/>
    <col min="7" max="7" width="17" style="1093" customWidth="1"/>
    <col min="8" max="8" width="8.33203125" style="1093" customWidth="1"/>
    <col min="9" max="9" width="21.6640625" style="1508" customWidth="1"/>
  </cols>
  <sheetData>
    <row r="4" spans="2:10">
      <c r="B4" s="1502" t="s">
        <v>2941</v>
      </c>
      <c r="C4" s="1503"/>
      <c r="D4" s="1503"/>
      <c r="E4" s="1504"/>
      <c r="F4" s="1504"/>
      <c r="G4" s="1504"/>
      <c r="H4" s="1504"/>
      <c r="I4" s="1505"/>
    </row>
    <row r="5" spans="2:10">
      <c r="B5" s="1506"/>
      <c r="C5" s="1507"/>
      <c r="D5" s="1507"/>
    </row>
    <row r="6" spans="2:10">
      <c r="B6" s="1506"/>
      <c r="C6" s="1507"/>
      <c r="D6" s="1507"/>
    </row>
    <row r="7" spans="2:10" ht="16.2" thickBot="1">
      <c r="B7" s="1509" t="s">
        <v>2942</v>
      </c>
      <c r="C7" s="1510" t="s">
        <v>2943</v>
      </c>
      <c r="D7" s="1511" t="s">
        <v>2944</v>
      </c>
      <c r="E7" s="1509" t="s">
        <v>2540</v>
      </c>
      <c r="F7" s="1512" t="s">
        <v>2945</v>
      </c>
      <c r="G7" s="1512" t="s">
        <v>2946</v>
      </c>
      <c r="H7" s="1509"/>
      <c r="I7" s="1513" t="s">
        <v>2947</v>
      </c>
    </row>
    <row r="8" spans="2:10" hidden="1">
      <c r="B8" s="1514">
        <v>1</v>
      </c>
      <c r="C8" s="1515" t="s">
        <v>112</v>
      </c>
      <c r="D8" s="1516"/>
      <c r="E8" s="1514"/>
      <c r="F8" s="1517"/>
      <c r="G8" s="1518" t="s">
        <v>2948</v>
      </c>
      <c r="H8" s="1518" t="s">
        <v>2949</v>
      </c>
      <c r="I8" s="1519">
        <v>302862</v>
      </c>
    </row>
    <row r="9" spans="2:10" hidden="1">
      <c r="B9" s="1514">
        <v>2</v>
      </c>
      <c r="C9" s="1515" t="s">
        <v>518</v>
      </c>
      <c r="D9" s="1516"/>
      <c r="E9" s="1514"/>
      <c r="F9" s="1517"/>
      <c r="G9" s="1518" t="s">
        <v>2950</v>
      </c>
      <c r="H9" s="1518" t="s">
        <v>2951</v>
      </c>
      <c r="I9" s="1519">
        <v>150105</v>
      </c>
    </row>
    <row r="10" spans="2:10">
      <c r="B10" s="1514">
        <v>3</v>
      </c>
      <c r="C10" s="1515" t="s">
        <v>430</v>
      </c>
      <c r="D10" s="1516"/>
      <c r="E10" s="1514" t="s">
        <v>2952</v>
      </c>
      <c r="F10" s="1517" t="s">
        <v>2953</v>
      </c>
      <c r="G10" s="1518" t="s">
        <v>2950</v>
      </c>
      <c r="H10" s="1518" t="s">
        <v>2951</v>
      </c>
      <c r="I10" s="1519">
        <v>3104070</v>
      </c>
    </row>
    <row r="11" spans="2:10" hidden="1">
      <c r="B11" s="1514">
        <v>4</v>
      </c>
      <c r="C11" s="1515" t="s">
        <v>562</v>
      </c>
      <c r="D11" s="1516"/>
      <c r="E11" s="1514"/>
      <c r="F11" s="1517"/>
      <c r="G11" s="1518" t="s">
        <v>2950</v>
      </c>
      <c r="H11" s="1518" t="s">
        <v>2951</v>
      </c>
      <c r="I11" s="1519">
        <v>37052</v>
      </c>
    </row>
    <row r="12" spans="2:10">
      <c r="B12" s="1514">
        <v>5</v>
      </c>
      <c r="C12" s="1515" t="s">
        <v>443</v>
      </c>
      <c r="D12" s="1516"/>
      <c r="E12" s="1514" t="s">
        <v>2952</v>
      </c>
      <c r="F12" s="1517" t="s">
        <v>2953</v>
      </c>
      <c r="G12" s="1518" t="s">
        <v>2950</v>
      </c>
      <c r="H12" s="1518" t="s">
        <v>2951</v>
      </c>
      <c r="I12" s="1519">
        <v>444140</v>
      </c>
      <c r="J12" t="s">
        <v>2961</v>
      </c>
    </row>
    <row r="13" spans="2:10">
      <c r="B13" s="1514">
        <v>6</v>
      </c>
      <c r="C13" s="1515" t="s">
        <v>447</v>
      </c>
      <c r="D13" s="1516"/>
      <c r="E13" s="1514" t="s">
        <v>2952</v>
      </c>
      <c r="F13" s="1517" t="s">
        <v>2954</v>
      </c>
      <c r="G13" s="1518" t="s">
        <v>2950</v>
      </c>
      <c r="H13" s="1518" t="s">
        <v>2951</v>
      </c>
      <c r="I13" s="1519">
        <v>100000</v>
      </c>
      <c r="J13" t="s">
        <v>2961</v>
      </c>
    </row>
    <row r="14" spans="2:10" hidden="1">
      <c r="B14" s="1514">
        <v>7</v>
      </c>
      <c r="C14" s="1515" t="s">
        <v>517</v>
      </c>
      <c r="D14" s="1516"/>
      <c r="E14" s="1514"/>
      <c r="F14" s="1517"/>
      <c r="G14" s="1518" t="s">
        <v>2950</v>
      </c>
      <c r="H14" s="1518" t="s">
        <v>2951</v>
      </c>
      <c r="I14" s="1519">
        <v>481820</v>
      </c>
    </row>
    <row r="15" spans="2:10" hidden="1">
      <c r="B15" s="1514">
        <v>8</v>
      </c>
      <c r="C15" s="1515" t="s">
        <v>266</v>
      </c>
      <c r="D15" s="1516"/>
      <c r="E15" s="1514"/>
      <c r="F15" s="1517"/>
      <c r="G15" s="1518" t="s">
        <v>2950</v>
      </c>
      <c r="H15" s="1518" t="s">
        <v>2951</v>
      </c>
      <c r="I15" s="1519">
        <v>218293</v>
      </c>
    </row>
    <row r="16" spans="2:10">
      <c r="B16" s="1514">
        <v>9</v>
      </c>
      <c r="C16" s="1515" t="s">
        <v>620</v>
      </c>
      <c r="D16" s="1516"/>
      <c r="E16" s="1514" t="s">
        <v>2952</v>
      </c>
      <c r="F16" s="1517" t="s">
        <v>2953</v>
      </c>
      <c r="G16" s="1518" t="s">
        <v>2950</v>
      </c>
      <c r="H16" s="1518" t="s">
        <v>2951</v>
      </c>
      <c r="I16" s="1519">
        <v>243000</v>
      </c>
    </row>
    <row r="17" spans="2:10" hidden="1">
      <c r="B17" s="1514">
        <v>10</v>
      </c>
      <c r="C17" s="1515" t="s">
        <v>652</v>
      </c>
      <c r="D17" s="1516"/>
      <c r="E17" s="1514"/>
      <c r="F17" s="1517"/>
      <c r="G17" s="1518" t="s">
        <v>2950</v>
      </c>
      <c r="H17" s="1518" t="s">
        <v>2955</v>
      </c>
      <c r="I17" s="1519">
        <v>204000</v>
      </c>
    </row>
    <row r="18" spans="2:10">
      <c r="B18" s="1514">
        <v>11</v>
      </c>
      <c r="C18" s="1515" t="s">
        <v>663</v>
      </c>
      <c r="D18" s="1516"/>
      <c r="E18" s="1514" t="s">
        <v>2952</v>
      </c>
      <c r="F18" s="1517" t="s">
        <v>2953</v>
      </c>
      <c r="G18" s="1518" t="s">
        <v>2950</v>
      </c>
      <c r="H18" s="1518" t="s">
        <v>2951</v>
      </c>
      <c r="I18" s="1519">
        <v>672000</v>
      </c>
      <c r="J18" t="s">
        <v>2961</v>
      </c>
    </row>
    <row r="19" spans="2:10">
      <c r="B19" s="1514">
        <v>12</v>
      </c>
      <c r="C19" s="1515" t="s">
        <v>342</v>
      </c>
      <c r="D19" s="1516"/>
      <c r="E19" s="1514" t="s">
        <v>2952</v>
      </c>
      <c r="F19" s="1517" t="s">
        <v>2953</v>
      </c>
      <c r="G19" s="1518" t="s">
        <v>2956</v>
      </c>
      <c r="H19" s="1518" t="s">
        <v>2951</v>
      </c>
      <c r="I19" s="1519">
        <v>39816</v>
      </c>
    </row>
    <row r="20" spans="2:10" hidden="1">
      <c r="B20" s="1514">
        <v>13</v>
      </c>
      <c r="C20" s="1515" t="s">
        <v>9</v>
      </c>
      <c r="D20" s="1516"/>
      <c r="E20" s="1514"/>
      <c r="F20" s="1517"/>
      <c r="G20" s="1518" t="s">
        <v>2956</v>
      </c>
      <c r="H20" s="1518" t="s">
        <v>2951</v>
      </c>
      <c r="I20" s="1519">
        <v>73440</v>
      </c>
    </row>
    <row r="21" spans="2:10" hidden="1">
      <c r="B21" s="1514">
        <v>14</v>
      </c>
      <c r="C21" s="1515" t="s">
        <v>426</v>
      </c>
      <c r="D21" s="1516"/>
      <c r="E21" s="1514"/>
      <c r="F21" s="1517"/>
      <c r="G21" s="1518" t="s">
        <v>2956</v>
      </c>
      <c r="H21" s="1518" t="s">
        <v>2951</v>
      </c>
      <c r="I21" s="1519">
        <v>21491</v>
      </c>
    </row>
    <row r="22" spans="2:10" hidden="1">
      <c r="B22" s="1514">
        <v>15</v>
      </c>
      <c r="C22" s="1515" t="s">
        <v>73</v>
      </c>
      <c r="D22" s="1516"/>
      <c r="E22" s="1514"/>
      <c r="F22" s="1517"/>
      <c r="G22" s="1518" t="s">
        <v>2956</v>
      </c>
      <c r="H22" s="1518" t="s">
        <v>2951</v>
      </c>
      <c r="I22" s="1519">
        <v>54681</v>
      </c>
    </row>
    <row r="23" spans="2:10" hidden="1">
      <c r="B23" s="1514">
        <v>16</v>
      </c>
      <c r="C23" s="1515" t="s">
        <v>26</v>
      </c>
      <c r="D23" s="1516"/>
      <c r="E23" s="1514"/>
      <c r="F23" s="1517"/>
      <c r="G23" s="1518" t="s">
        <v>2956</v>
      </c>
      <c r="H23" s="1518" t="s">
        <v>2951</v>
      </c>
      <c r="I23" s="1519">
        <v>6490</v>
      </c>
    </row>
    <row r="24" spans="2:10" hidden="1">
      <c r="B24" s="1514">
        <v>17</v>
      </c>
      <c r="C24" s="1515" t="s">
        <v>492</v>
      </c>
      <c r="D24" s="1516"/>
      <c r="E24" s="1514"/>
      <c r="F24" s="1517"/>
      <c r="G24" s="1518" t="s">
        <v>2956</v>
      </c>
      <c r="H24" s="1518" t="s">
        <v>2951</v>
      </c>
      <c r="I24" s="1519">
        <v>24831</v>
      </c>
    </row>
    <row r="25" spans="2:10" hidden="1">
      <c r="B25" s="1514">
        <v>18</v>
      </c>
      <c r="C25" s="1515" t="s">
        <v>152</v>
      </c>
      <c r="D25" s="1516"/>
      <c r="E25" s="1514"/>
      <c r="F25" s="1517"/>
      <c r="G25" s="1518" t="s">
        <v>2956</v>
      </c>
      <c r="H25" s="1518" t="s">
        <v>2951</v>
      </c>
      <c r="I25" s="1519">
        <v>29160</v>
      </c>
    </row>
    <row r="26" spans="2:10" hidden="1">
      <c r="B26" s="1514">
        <v>19</v>
      </c>
      <c r="C26" s="1515" t="s">
        <v>161</v>
      </c>
      <c r="D26" s="1516"/>
      <c r="E26" s="1514"/>
      <c r="F26" s="1517"/>
      <c r="G26" s="1518" t="s">
        <v>2956</v>
      </c>
      <c r="H26" s="1518" t="s">
        <v>2951</v>
      </c>
      <c r="I26" s="1519">
        <v>112909.16</v>
      </c>
    </row>
    <row r="27" spans="2:10" hidden="1">
      <c r="B27" s="1514">
        <v>20</v>
      </c>
      <c r="C27" s="1515" t="s">
        <v>165</v>
      </c>
      <c r="D27" s="1516"/>
      <c r="E27" s="1514"/>
      <c r="F27" s="1517"/>
      <c r="G27" s="1518" t="s">
        <v>2956</v>
      </c>
      <c r="H27" s="1518" t="s">
        <v>2951</v>
      </c>
      <c r="I27" s="1519">
        <v>89916</v>
      </c>
    </row>
    <row r="28" spans="2:10" hidden="1">
      <c r="B28" s="1514">
        <v>21</v>
      </c>
      <c r="C28" s="1515" t="s">
        <v>561</v>
      </c>
      <c r="D28" s="1516"/>
      <c r="E28" s="1514"/>
      <c r="F28" s="1517"/>
      <c r="G28" s="1518" t="s">
        <v>2956</v>
      </c>
      <c r="H28" s="1518" t="s">
        <v>2951</v>
      </c>
      <c r="I28" s="1519">
        <v>62499</v>
      </c>
    </row>
    <row r="29" spans="2:10" hidden="1">
      <c r="B29" s="1514">
        <v>22</v>
      </c>
      <c r="C29" s="1515" t="s">
        <v>194</v>
      </c>
      <c r="D29" s="1516"/>
      <c r="E29" s="1514"/>
      <c r="F29" s="1517"/>
      <c r="G29" s="1518" t="s">
        <v>2956</v>
      </c>
      <c r="H29" s="1518" t="s">
        <v>2951</v>
      </c>
      <c r="I29" s="1519">
        <v>65007</v>
      </c>
    </row>
    <row r="30" spans="2:10">
      <c r="B30" s="1514">
        <v>23</v>
      </c>
      <c r="C30" s="1515" t="s">
        <v>197</v>
      </c>
      <c r="D30" s="1516"/>
      <c r="E30" s="1514" t="s">
        <v>2952</v>
      </c>
      <c r="F30" s="1517" t="s">
        <v>2954</v>
      </c>
      <c r="G30" s="1518" t="s">
        <v>2956</v>
      </c>
      <c r="H30" s="1518" t="s">
        <v>2951</v>
      </c>
      <c r="I30" s="1519">
        <v>242667</v>
      </c>
      <c r="J30" t="s">
        <v>2961</v>
      </c>
    </row>
    <row r="31" spans="2:10" hidden="1">
      <c r="B31" s="1514">
        <v>24</v>
      </c>
      <c r="C31" s="1515" t="s">
        <v>199</v>
      </c>
      <c r="D31" s="1516"/>
      <c r="E31" s="1514"/>
      <c r="F31" s="1517"/>
      <c r="G31" s="1518" t="s">
        <v>2956</v>
      </c>
      <c r="H31" s="1518" t="s">
        <v>2951</v>
      </c>
      <c r="I31" s="1519">
        <v>74340</v>
      </c>
    </row>
    <row r="32" spans="2:10">
      <c r="B32" s="1514">
        <v>25</v>
      </c>
      <c r="C32" s="1515" t="s">
        <v>203</v>
      </c>
      <c r="D32" s="1516"/>
      <c r="E32" s="1514" t="s">
        <v>2952</v>
      </c>
      <c r="F32" s="1517" t="s">
        <v>2953</v>
      </c>
      <c r="G32" s="1518" t="s">
        <v>2956</v>
      </c>
      <c r="H32" s="1518" t="s">
        <v>2951</v>
      </c>
      <c r="I32" s="1519">
        <v>75205</v>
      </c>
    </row>
    <row r="33" spans="2:10" hidden="1">
      <c r="B33" s="1514">
        <v>26</v>
      </c>
      <c r="C33" s="1515" t="s">
        <v>206</v>
      </c>
      <c r="D33" s="1516"/>
      <c r="E33" s="1514"/>
      <c r="F33" s="1517"/>
      <c r="G33" s="1518" t="s">
        <v>2956</v>
      </c>
      <c r="H33" s="1518" t="s">
        <v>2951</v>
      </c>
      <c r="I33" s="1519">
        <v>238416</v>
      </c>
    </row>
    <row r="34" spans="2:10" hidden="1">
      <c r="B34" s="1514">
        <v>27</v>
      </c>
      <c r="C34" s="1515" t="s">
        <v>247</v>
      </c>
      <c r="D34" s="1516"/>
      <c r="E34" s="1514"/>
      <c r="F34" s="1517"/>
      <c r="G34" s="1518" t="s">
        <v>2956</v>
      </c>
      <c r="H34" s="1518" t="s">
        <v>2951</v>
      </c>
      <c r="I34" s="1519">
        <v>6711</v>
      </c>
    </row>
    <row r="35" spans="2:10">
      <c r="B35" s="1514">
        <v>28</v>
      </c>
      <c r="C35" s="1515" t="s">
        <v>497</v>
      </c>
      <c r="D35" s="1516"/>
      <c r="E35" s="1514" t="s">
        <v>2952</v>
      </c>
      <c r="F35" s="1517" t="s">
        <v>2957</v>
      </c>
      <c r="G35" s="1518" t="s">
        <v>2956</v>
      </c>
      <c r="H35" s="1518" t="s">
        <v>2951</v>
      </c>
      <c r="I35" s="1519">
        <v>588420</v>
      </c>
      <c r="J35" t="s">
        <v>2961</v>
      </c>
    </row>
    <row r="36" spans="2:10" hidden="1">
      <c r="B36" s="1514">
        <v>29</v>
      </c>
      <c r="C36" s="1515" t="s">
        <v>267</v>
      </c>
      <c r="D36" s="1516"/>
      <c r="E36" s="1514"/>
      <c r="F36" s="1517"/>
      <c r="G36" s="1518" t="s">
        <v>2956</v>
      </c>
      <c r="H36" s="1518" t="s">
        <v>2951</v>
      </c>
      <c r="I36" s="1519">
        <v>27100</v>
      </c>
    </row>
    <row r="37" spans="2:10" hidden="1">
      <c r="B37" s="1514">
        <v>30</v>
      </c>
      <c r="C37" s="1515" t="s">
        <v>2384</v>
      </c>
      <c r="D37" s="1516"/>
      <c r="E37" s="1514"/>
      <c r="F37" s="1517"/>
      <c r="G37" s="1518" t="s">
        <v>2956</v>
      </c>
      <c r="H37" s="1518" t="s">
        <v>2949</v>
      </c>
      <c r="I37" s="1519">
        <v>9980</v>
      </c>
    </row>
    <row r="38" spans="2:10" hidden="1">
      <c r="B38" s="1514">
        <v>31</v>
      </c>
      <c r="C38" s="1515" t="s">
        <v>498</v>
      </c>
      <c r="D38" s="1516"/>
      <c r="E38" s="1514"/>
      <c r="F38" s="1517"/>
      <c r="G38" s="1518" t="s">
        <v>2956</v>
      </c>
      <c r="H38" s="1518" t="s">
        <v>2951</v>
      </c>
      <c r="I38" s="1519">
        <v>32397</v>
      </c>
    </row>
    <row r="39" spans="2:10">
      <c r="B39" s="1514">
        <v>32</v>
      </c>
      <c r="C39" s="1515" t="s">
        <v>586</v>
      </c>
      <c r="D39" s="1516"/>
      <c r="E39" s="1514" t="s">
        <v>2952</v>
      </c>
      <c r="F39" s="1517"/>
      <c r="G39" s="1518" t="s">
        <v>2956</v>
      </c>
      <c r="H39" s="1518" t="s">
        <v>2951</v>
      </c>
      <c r="I39" s="1519">
        <v>81650</v>
      </c>
    </row>
    <row r="40" spans="2:10" hidden="1">
      <c r="B40" s="1514">
        <v>33</v>
      </c>
      <c r="C40" s="1515" t="s">
        <v>294</v>
      </c>
      <c r="D40" s="1516"/>
      <c r="E40" s="1514"/>
      <c r="F40" s="1517"/>
      <c r="G40" s="1518" t="s">
        <v>2956</v>
      </c>
      <c r="H40" s="1518" t="s">
        <v>2951</v>
      </c>
      <c r="I40" s="1519">
        <v>56976</v>
      </c>
    </row>
    <row r="41" spans="2:10" hidden="1">
      <c r="B41" s="1514">
        <v>34</v>
      </c>
      <c r="C41" s="1515" t="s">
        <v>593</v>
      </c>
      <c r="D41" s="1516"/>
      <c r="E41" s="1514"/>
      <c r="F41" s="1517"/>
      <c r="G41" s="1518" t="s">
        <v>2956</v>
      </c>
      <c r="H41" s="1518" t="s">
        <v>2951</v>
      </c>
      <c r="I41" s="1519">
        <v>84960</v>
      </c>
    </row>
    <row r="42" spans="2:10" hidden="1">
      <c r="B42" s="1514">
        <v>35</v>
      </c>
      <c r="C42" s="1515" t="s">
        <v>608</v>
      </c>
      <c r="D42" s="1516"/>
      <c r="E42" s="1514"/>
      <c r="F42" s="1517"/>
      <c r="G42" s="1518" t="s">
        <v>2956</v>
      </c>
      <c r="H42" s="1518" t="s">
        <v>2951</v>
      </c>
      <c r="I42" s="1519">
        <v>251180</v>
      </c>
    </row>
    <row r="43" spans="2:10" hidden="1">
      <c r="B43" s="1514">
        <v>36</v>
      </c>
      <c r="C43" s="1515" t="s">
        <v>611</v>
      </c>
      <c r="D43" s="1516"/>
      <c r="E43" s="1514"/>
      <c r="F43" s="1517"/>
      <c r="G43" s="1518" t="s">
        <v>2956</v>
      </c>
      <c r="H43" s="1518" t="s">
        <v>2951</v>
      </c>
      <c r="I43" s="1519">
        <v>3418</v>
      </c>
    </row>
    <row r="44" spans="2:10" hidden="1">
      <c r="B44" s="1514">
        <v>37</v>
      </c>
      <c r="C44" s="1515" t="s">
        <v>622</v>
      </c>
      <c r="D44" s="1516"/>
      <c r="E44" s="1514"/>
      <c r="F44" s="1517"/>
      <c r="G44" s="1518" t="s">
        <v>2956</v>
      </c>
      <c r="H44" s="1518" t="s">
        <v>2951</v>
      </c>
      <c r="I44" s="1519">
        <v>25438</v>
      </c>
    </row>
    <row r="45" spans="2:10" hidden="1">
      <c r="B45" s="1514">
        <v>38</v>
      </c>
      <c r="C45" s="1515" t="s">
        <v>636</v>
      </c>
      <c r="D45" s="1516"/>
      <c r="E45" s="1514"/>
      <c r="F45" s="1517"/>
      <c r="G45" s="1518" t="s">
        <v>2956</v>
      </c>
      <c r="H45" s="1518" t="s">
        <v>2951</v>
      </c>
      <c r="I45" s="1519">
        <v>101563</v>
      </c>
    </row>
    <row r="46" spans="2:10" hidden="1">
      <c r="B46" s="1514">
        <v>39</v>
      </c>
      <c r="C46" s="1515" t="s">
        <v>638</v>
      </c>
      <c r="D46" s="1516"/>
      <c r="E46" s="1514"/>
      <c r="F46" s="1517"/>
      <c r="G46" s="1518" t="s">
        <v>2956</v>
      </c>
      <c r="H46" s="1518" t="s">
        <v>2949</v>
      </c>
      <c r="I46" s="1519">
        <v>4200</v>
      </c>
    </row>
    <row r="47" spans="2:10" hidden="1">
      <c r="B47" s="1514">
        <v>40</v>
      </c>
      <c r="C47" s="1515" t="s">
        <v>651</v>
      </c>
      <c r="D47" s="1516"/>
      <c r="E47" s="1514"/>
      <c r="F47" s="1517"/>
      <c r="G47" s="1518" t="s">
        <v>2956</v>
      </c>
      <c r="H47" s="1518" t="s">
        <v>2951</v>
      </c>
      <c r="I47" s="1519">
        <v>65000</v>
      </c>
    </row>
    <row r="48" spans="2:10" hidden="1">
      <c r="B48" s="1514">
        <v>41</v>
      </c>
      <c r="C48" s="1515" t="s">
        <v>654</v>
      </c>
      <c r="D48" s="1516"/>
      <c r="E48" s="1514"/>
      <c r="F48" s="1517"/>
      <c r="G48" s="1518" t="s">
        <v>2956</v>
      </c>
      <c r="H48" s="1518" t="s">
        <v>2951</v>
      </c>
      <c r="I48" s="1519">
        <v>12980</v>
      </c>
    </row>
    <row r="49" spans="2:9" hidden="1">
      <c r="B49" s="1514">
        <v>42</v>
      </c>
      <c r="C49" s="1515" t="s">
        <v>490</v>
      </c>
      <c r="D49" s="1516"/>
      <c r="E49" s="1514"/>
      <c r="F49" s="1517"/>
      <c r="G49" s="1518" t="s">
        <v>2956</v>
      </c>
      <c r="H49" s="1518" t="s">
        <v>2951</v>
      </c>
      <c r="I49" s="1519">
        <v>55080</v>
      </c>
    </row>
    <row r="50" spans="2:9" hidden="1">
      <c r="B50" s="1514">
        <v>43</v>
      </c>
      <c r="C50" s="1515" t="s">
        <v>658</v>
      </c>
      <c r="D50" s="1516"/>
      <c r="E50" s="1514"/>
      <c r="F50" s="1517"/>
      <c r="G50" s="1518" t="s">
        <v>2956</v>
      </c>
      <c r="H50" s="1518" t="s">
        <v>2949</v>
      </c>
      <c r="I50" s="1519">
        <v>175000</v>
      </c>
    </row>
    <row r="51" spans="2:9" hidden="1">
      <c r="B51" s="1514">
        <v>44</v>
      </c>
      <c r="C51" s="1515" t="s">
        <v>506</v>
      </c>
      <c r="D51" s="1516"/>
      <c r="E51" s="1514"/>
      <c r="F51" s="1517"/>
      <c r="G51" s="1518" t="s">
        <v>2956</v>
      </c>
      <c r="H51" s="1518" t="s">
        <v>2951</v>
      </c>
      <c r="I51" s="1519">
        <v>750593</v>
      </c>
    </row>
    <row r="52" spans="2:9" hidden="1">
      <c r="B52" s="1514">
        <v>45</v>
      </c>
      <c r="C52" s="1515" t="s">
        <v>661</v>
      </c>
      <c r="D52" s="1516"/>
      <c r="E52" s="1514"/>
      <c r="F52" s="1517"/>
      <c r="G52" s="1518" t="s">
        <v>2956</v>
      </c>
      <c r="H52" s="1518" t="s">
        <v>2951</v>
      </c>
      <c r="I52" s="1519">
        <v>226800</v>
      </c>
    </row>
    <row r="53" spans="2:9" hidden="1">
      <c r="B53" s="1514">
        <v>46</v>
      </c>
      <c r="C53" s="1515" t="s">
        <v>22</v>
      </c>
      <c r="D53" s="1516"/>
      <c r="E53" s="1514"/>
      <c r="F53" s="1517"/>
      <c r="G53" s="1518" t="s">
        <v>2958</v>
      </c>
      <c r="H53" s="1518" t="s">
        <v>2951</v>
      </c>
      <c r="I53" s="1519">
        <v>380240</v>
      </c>
    </row>
    <row r="54" spans="2:9" hidden="1">
      <c r="B54" s="1514">
        <v>47</v>
      </c>
      <c r="C54" s="1515" t="s">
        <v>537</v>
      </c>
      <c r="D54" s="1516"/>
      <c r="E54" s="1514"/>
      <c r="F54" s="1517"/>
      <c r="G54" s="1518" t="s">
        <v>2958</v>
      </c>
      <c r="H54" s="1518" t="s">
        <v>2951</v>
      </c>
      <c r="I54" s="1519">
        <v>1997155</v>
      </c>
    </row>
    <row r="55" spans="2:9" hidden="1">
      <c r="B55" s="1514">
        <v>48</v>
      </c>
      <c r="C55" s="1515" t="s">
        <v>20</v>
      </c>
      <c r="D55" s="1516"/>
      <c r="E55" s="1514"/>
      <c r="F55" s="1517"/>
      <c r="G55" s="1518" t="s">
        <v>2958</v>
      </c>
      <c r="H55" s="1518" t="s">
        <v>2951</v>
      </c>
      <c r="I55" s="1519">
        <v>146832</v>
      </c>
    </row>
    <row r="56" spans="2:9" hidden="1">
      <c r="B56" s="1514">
        <v>49</v>
      </c>
      <c r="C56" s="1515" t="s">
        <v>542</v>
      </c>
      <c r="D56" s="1516"/>
      <c r="E56" s="1514"/>
      <c r="F56" s="1517"/>
      <c r="G56" s="1518" t="s">
        <v>2958</v>
      </c>
      <c r="H56" s="1518" t="s">
        <v>2951</v>
      </c>
      <c r="I56" s="1519">
        <v>556517</v>
      </c>
    </row>
    <row r="57" spans="2:9" hidden="1">
      <c r="B57" s="1514">
        <v>50</v>
      </c>
      <c r="C57" s="1515" t="s">
        <v>64</v>
      </c>
      <c r="D57" s="1516"/>
      <c r="E57" s="1514"/>
      <c r="F57" s="1517"/>
      <c r="G57" s="1518" t="s">
        <v>2958</v>
      </c>
      <c r="H57" s="1518" t="s">
        <v>2951</v>
      </c>
      <c r="I57" s="1519">
        <v>156616</v>
      </c>
    </row>
    <row r="58" spans="2:9" hidden="1">
      <c r="B58" s="1514">
        <v>51</v>
      </c>
      <c r="C58" s="1515" t="s">
        <v>41</v>
      </c>
      <c r="D58" s="1516"/>
      <c r="E58" s="1514"/>
      <c r="F58" s="1517"/>
      <c r="G58" s="1518" t="s">
        <v>2958</v>
      </c>
      <c r="H58" s="1518" t="s">
        <v>2951</v>
      </c>
      <c r="I58" s="1519">
        <v>1074019</v>
      </c>
    </row>
    <row r="59" spans="2:9" hidden="1">
      <c r="B59" s="1514">
        <v>52</v>
      </c>
      <c r="C59" s="1515" t="s">
        <v>42</v>
      </c>
      <c r="D59" s="1516"/>
      <c r="E59" s="1514"/>
      <c r="F59" s="1517"/>
      <c r="G59" s="1518" t="s">
        <v>2958</v>
      </c>
      <c r="H59" s="1518" t="s">
        <v>2951</v>
      </c>
      <c r="I59" s="1519">
        <v>3812089</v>
      </c>
    </row>
    <row r="60" spans="2:9" hidden="1">
      <c r="B60" s="1514">
        <v>53</v>
      </c>
      <c r="C60" s="1515" t="s">
        <v>123</v>
      </c>
      <c r="D60" s="1516"/>
      <c r="E60" s="1514"/>
      <c r="F60" s="1517"/>
      <c r="G60" s="1518" t="s">
        <v>2958</v>
      </c>
      <c r="H60" s="1518" t="s">
        <v>2951</v>
      </c>
      <c r="I60" s="1519">
        <v>7452127</v>
      </c>
    </row>
    <row r="61" spans="2:9" hidden="1">
      <c r="B61" s="1514">
        <v>54</v>
      </c>
      <c r="C61" s="1515" t="s">
        <v>166</v>
      </c>
      <c r="D61" s="1516"/>
      <c r="E61" s="1514"/>
      <c r="F61" s="1517"/>
      <c r="G61" s="1518" t="s">
        <v>2958</v>
      </c>
      <c r="H61" s="1518" t="s">
        <v>2951</v>
      </c>
      <c r="I61" s="1519">
        <v>4164978</v>
      </c>
    </row>
    <row r="62" spans="2:9" hidden="1">
      <c r="B62" s="1514">
        <v>55</v>
      </c>
      <c r="C62" s="1515" t="s">
        <v>569</v>
      </c>
      <c r="D62" s="1516"/>
      <c r="E62" s="1514"/>
      <c r="F62" s="1517"/>
      <c r="G62" s="1518" t="s">
        <v>2958</v>
      </c>
      <c r="H62" s="1518" t="s">
        <v>2951</v>
      </c>
      <c r="I62" s="1519">
        <v>192781</v>
      </c>
    </row>
    <row r="63" spans="2:9" hidden="1">
      <c r="B63" s="1514">
        <v>56</v>
      </c>
      <c r="C63" s="1515" t="s">
        <v>450</v>
      </c>
      <c r="D63" s="1516"/>
      <c r="E63" s="1514"/>
      <c r="F63" s="1517"/>
      <c r="G63" s="1518" t="s">
        <v>2958</v>
      </c>
      <c r="H63" s="1518" t="s">
        <v>2951</v>
      </c>
      <c r="I63" s="1519">
        <v>193615</v>
      </c>
    </row>
    <row r="64" spans="2:9" hidden="1">
      <c r="B64" s="1514">
        <v>57</v>
      </c>
      <c r="C64" s="1515" t="s">
        <v>495</v>
      </c>
      <c r="D64" s="1516"/>
      <c r="E64" s="1514"/>
      <c r="F64" s="1517"/>
      <c r="G64" s="1518" t="s">
        <v>2958</v>
      </c>
      <c r="H64" s="1518" t="s">
        <v>2951</v>
      </c>
      <c r="I64" s="1519">
        <v>143488</v>
      </c>
    </row>
    <row r="65" spans="2:9">
      <c r="B65" s="1514">
        <v>58</v>
      </c>
      <c r="C65" s="1515" t="s">
        <v>581</v>
      </c>
      <c r="D65" s="1516"/>
      <c r="E65" s="1514" t="s">
        <v>2952</v>
      </c>
      <c r="F65" s="1517" t="s">
        <v>2953</v>
      </c>
      <c r="G65" s="1518" t="s">
        <v>2958</v>
      </c>
      <c r="H65" s="1518" t="s">
        <v>2951</v>
      </c>
      <c r="I65" s="1519">
        <v>1780152</v>
      </c>
    </row>
    <row r="66" spans="2:9" hidden="1">
      <c r="B66" s="1514">
        <v>59</v>
      </c>
      <c r="C66" s="1515" t="s">
        <v>249</v>
      </c>
      <c r="D66" s="1516"/>
      <c r="E66" s="1514"/>
      <c r="F66" s="1517"/>
      <c r="G66" s="1518" t="s">
        <v>2958</v>
      </c>
      <c r="H66" s="1518" t="s">
        <v>2951</v>
      </c>
      <c r="I66" s="1519">
        <v>12525978.300000001</v>
      </c>
    </row>
    <row r="67" spans="2:9" hidden="1">
      <c r="B67" s="1514">
        <v>60</v>
      </c>
      <c r="C67" s="1515" t="s">
        <v>454</v>
      </c>
      <c r="D67" s="1516"/>
      <c r="E67" s="1514"/>
      <c r="F67" s="1517"/>
      <c r="G67" s="1518" t="s">
        <v>2958</v>
      </c>
      <c r="H67" s="1518" t="s">
        <v>2951</v>
      </c>
      <c r="I67" s="1519">
        <v>11543115</v>
      </c>
    </row>
    <row r="68" spans="2:9">
      <c r="B68" s="1514">
        <v>61</v>
      </c>
      <c r="C68" s="1515" t="s">
        <v>259</v>
      </c>
      <c r="D68" s="1516"/>
      <c r="E68" s="1514" t="s">
        <v>2952</v>
      </c>
      <c r="F68" s="1517"/>
      <c r="G68" s="1518" t="s">
        <v>2958</v>
      </c>
      <c r="H68" s="1518" t="s">
        <v>2951</v>
      </c>
      <c r="I68" s="1519">
        <v>2296047.5</v>
      </c>
    </row>
    <row r="69" spans="2:9" hidden="1">
      <c r="B69" s="1514">
        <v>62</v>
      </c>
      <c r="C69" s="1515" t="s">
        <v>264</v>
      </c>
      <c r="D69" s="1516"/>
      <c r="E69" s="1514"/>
      <c r="F69" s="1517"/>
      <c r="G69" s="1518" t="s">
        <v>2958</v>
      </c>
      <c r="H69" s="1518" t="s">
        <v>2949</v>
      </c>
      <c r="I69" s="1519">
        <v>7944212</v>
      </c>
    </row>
    <row r="70" spans="2:9" hidden="1">
      <c r="B70" s="1514">
        <v>63</v>
      </c>
      <c r="C70" s="1515" t="s">
        <v>21</v>
      </c>
      <c r="D70" s="1516"/>
      <c r="E70" s="1514"/>
      <c r="F70" s="1517"/>
      <c r="G70" s="1518" t="s">
        <v>2958</v>
      </c>
      <c r="H70" s="1518" t="s">
        <v>2951</v>
      </c>
      <c r="I70" s="1519">
        <v>3597683</v>
      </c>
    </row>
    <row r="71" spans="2:9" hidden="1">
      <c r="B71" s="1514">
        <v>64</v>
      </c>
      <c r="C71" s="1515" t="s">
        <v>456</v>
      </c>
      <c r="D71" s="1516"/>
      <c r="E71" s="1514"/>
      <c r="F71" s="1517"/>
      <c r="G71" s="1518" t="s">
        <v>2958</v>
      </c>
      <c r="H71" s="1518" t="s">
        <v>2951</v>
      </c>
      <c r="I71" s="1519">
        <v>313013</v>
      </c>
    </row>
    <row r="72" spans="2:9" hidden="1">
      <c r="B72" s="1514">
        <v>65</v>
      </c>
      <c r="C72" s="1515" t="s">
        <v>345</v>
      </c>
      <c r="D72" s="1516"/>
      <c r="E72" s="1514"/>
      <c r="F72" s="1517"/>
      <c r="G72" s="1518" t="s">
        <v>2958</v>
      </c>
      <c r="H72" s="1518" t="s">
        <v>2951</v>
      </c>
      <c r="I72" s="1519">
        <v>1212197</v>
      </c>
    </row>
    <row r="73" spans="2:9" hidden="1">
      <c r="B73" s="1514">
        <v>66</v>
      </c>
      <c r="C73" s="1515" t="s">
        <v>614</v>
      </c>
      <c r="D73" s="1516"/>
      <c r="E73" s="1514"/>
      <c r="F73" s="1517"/>
      <c r="G73" s="1518" t="s">
        <v>2958</v>
      </c>
      <c r="H73" s="1518" t="s">
        <v>2951</v>
      </c>
      <c r="I73" s="1519">
        <v>1296380</v>
      </c>
    </row>
    <row r="74" spans="2:9" hidden="1">
      <c r="B74" s="1514">
        <v>67</v>
      </c>
      <c r="C74" s="1515" t="s">
        <v>615</v>
      </c>
      <c r="D74" s="1516"/>
      <c r="E74" s="1514"/>
      <c r="F74" s="1517"/>
      <c r="G74" s="1518" t="s">
        <v>2958</v>
      </c>
      <c r="H74" s="1518" t="s">
        <v>2951</v>
      </c>
      <c r="I74" s="1519">
        <v>3727056.51</v>
      </c>
    </row>
    <row r="75" spans="2:9" hidden="1">
      <c r="B75" s="1514">
        <v>68</v>
      </c>
      <c r="C75" s="1515" t="s">
        <v>618</v>
      </c>
      <c r="D75" s="1516"/>
      <c r="E75" s="1514"/>
      <c r="F75" s="1517"/>
      <c r="G75" s="1518" t="s">
        <v>2958</v>
      </c>
      <c r="H75" s="1518" t="s">
        <v>2951</v>
      </c>
      <c r="I75" s="1519">
        <v>1115100</v>
      </c>
    </row>
    <row r="76" spans="2:9">
      <c r="B76" s="1514">
        <v>69</v>
      </c>
      <c r="C76" s="1515" t="s">
        <v>360</v>
      </c>
      <c r="D76" s="1516"/>
      <c r="E76" s="1514" t="s">
        <v>2952</v>
      </c>
      <c r="F76" s="1517" t="s">
        <v>2954</v>
      </c>
      <c r="G76" s="1518" t="s">
        <v>2958</v>
      </c>
      <c r="H76" s="1518" t="s">
        <v>2951</v>
      </c>
      <c r="I76" s="1519">
        <v>3597964</v>
      </c>
    </row>
    <row r="77" spans="2:9" hidden="1">
      <c r="B77" s="1514">
        <v>70</v>
      </c>
      <c r="C77" s="1515" t="s">
        <v>473</v>
      </c>
      <c r="D77" s="1516"/>
      <c r="E77" s="1514"/>
      <c r="F77" s="1517"/>
      <c r="G77" s="1518" t="s">
        <v>2958</v>
      </c>
      <c r="H77" s="1518" t="s">
        <v>2951</v>
      </c>
      <c r="I77" s="1519">
        <v>632079</v>
      </c>
    </row>
    <row r="78" spans="2:9" hidden="1">
      <c r="B78" s="1514">
        <v>71</v>
      </c>
      <c r="C78" s="1515" t="s">
        <v>241</v>
      </c>
      <c r="D78" s="1516"/>
      <c r="E78" s="1514"/>
      <c r="F78" s="1517"/>
      <c r="G78" s="1518" t="s">
        <v>2958</v>
      </c>
      <c r="H78" s="1518" t="s">
        <v>2951</v>
      </c>
      <c r="I78" s="1519">
        <v>2129493</v>
      </c>
    </row>
    <row r="79" spans="2:9" hidden="1">
      <c r="B79" s="1514">
        <v>72</v>
      </c>
      <c r="C79" s="1515" t="s">
        <v>385</v>
      </c>
      <c r="D79" s="1516"/>
      <c r="E79" s="1514"/>
      <c r="F79" s="1517"/>
      <c r="G79" s="1518" t="s">
        <v>2958</v>
      </c>
      <c r="H79" s="1518" t="s">
        <v>2951</v>
      </c>
      <c r="I79" s="1519">
        <v>1668161.7</v>
      </c>
    </row>
    <row r="80" spans="2:9">
      <c r="B80" s="1514">
        <v>73</v>
      </c>
      <c r="C80" s="1515" t="s">
        <v>386</v>
      </c>
      <c r="D80" s="1516"/>
      <c r="E80" s="1514" t="s">
        <v>2952</v>
      </c>
      <c r="F80" s="1517" t="s">
        <v>2954</v>
      </c>
      <c r="G80" s="1518" t="s">
        <v>2958</v>
      </c>
      <c r="H80" s="1518" t="s">
        <v>2951</v>
      </c>
      <c r="I80" s="1519">
        <v>182880</v>
      </c>
    </row>
    <row r="81" spans="2:10" hidden="1">
      <c r="B81" s="1514">
        <v>74</v>
      </c>
      <c r="C81" s="1515" t="s">
        <v>405</v>
      </c>
      <c r="D81" s="1516"/>
      <c r="E81" s="1514"/>
      <c r="F81" s="1517"/>
      <c r="G81" s="1518" t="s">
        <v>2958</v>
      </c>
      <c r="H81" s="1518" t="s">
        <v>2951</v>
      </c>
      <c r="I81" s="1519">
        <v>830720</v>
      </c>
    </row>
    <row r="82" spans="2:10" hidden="1">
      <c r="B82" s="1514">
        <v>75</v>
      </c>
      <c r="C82" s="1515" t="s">
        <v>653</v>
      </c>
      <c r="D82" s="1516"/>
      <c r="E82" s="1514"/>
      <c r="F82" s="1517"/>
      <c r="G82" s="1518" t="s">
        <v>2958</v>
      </c>
      <c r="H82" s="1518" t="s">
        <v>2951</v>
      </c>
      <c r="I82" s="1519">
        <v>80955</v>
      </c>
    </row>
    <row r="83" spans="2:10" hidden="1">
      <c r="B83" s="1514">
        <v>76</v>
      </c>
      <c r="C83" s="1515" t="s">
        <v>491</v>
      </c>
      <c r="D83" s="1516"/>
      <c r="E83" s="1514"/>
      <c r="F83" s="1517"/>
      <c r="G83" s="1518" t="s">
        <v>2958</v>
      </c>
      <c r="H83" s="1518" t="s">
        <v>2951</v>
      </c>
      <c r="I83" s="1519">
        <v>90199</v>
      </c>
    </row>
    <row r="84" spans="2:10" hidden="1">
      <c r="B84" s="1514">
        <v>77</v>
      </c>
      <c r="C84" s="1515" t="s">
        <v>505</v>
      </c>
      <c r="D84" s="1516"/>
      <c r="E84" s="1514"/>
      <c r="F84" s="1517"/>
      <c r="G84" s="1518" t="s">
        <v>2958</v>
      </c>
      <c r="H84" s="1518" t="s">
        <v>2951</v>
      </c>
      <c r="I84" s="1519">
        <v>3500894</v>
      </c>
    </row>
    <row r="85" spans="2:10" hidden="1">
      <c r="B85" s="1514">
        <v>78</v>
      </c>
      <c r="C85" s="1515" t="s">
        <v>485</v>
      </c>
      <c r="D85" s="1516"/>
      <c r="E85" s="1514"/>
      <c r="F85" s="1517"/>
      <c r="G85" s="1518" t="s">
        <v>2958</v>
      </c>
      <c r="H85" s="1518" t="s">
        <v>2951</v>
      </c>
      <c r="I85" s="1519">
        <v>163013</v>
      </c>
    </row>
    <row r="86" spans="2:10" hidden="1">
      <c r="B86" s="1514">
        <v>79</v>
      </c>
      <c r="C86" s="1515" t="s">
        <v>659</v>
      </c>
      <c r="D86" s="1516"/>
      <c r="E86" s="1514"/>
      <c r="F86" s="1517"/>
      <c r="G86" s="1518" t="s">
        <v>2958</v>
      </c>
      <c r="H86" s="1518" t="s">
        <v>2951</v>
      </c>
      <c r="I86" s="1519">
        <v>295397</v>
      </c>
    </row>
    <row r="87" spans="2:10" hidden="1">
      <c r="B87" s="1514">
        <v>80</v>
      </c>
      <c r="C87" s="1515" t="s">
        <v>2766</v>
      </c>
      <c r="D87" s="1516"/>
      <c r="E87" s="1514"/>
      <c r="F87" s="1517"/>
      <c r="G87" s="1518" t="s">
        <v>2959</v>
      </c>
      <c r="H87" s="1518" t="s">
        <v>2951</v>
      </c>
      <c r="I87" s="1519">
        <v>533042</v>
      </c>
    </row>
    <row r="88" spans="2:10" hidden="1">
      <c r="B88" s="1514">
        <v>81</v>
      </c>
      <c r="C88" s="1515" t="s">
        <v>2767</v>
      </c>
      <c r="D88" s="1516"/>
      <c r="E88" s="1514"/>
      <c r="F88" s="1517"/>
      <c r="G88" s="1518" t="s">
        <v>2959</v>
      </c>
      <c r="H88" s="1518" t="s">
        <v>2951</v>
      </c>
      <c r="I88" s="1519">
        <v>996630</v>
      </c>
    </row>
    <row r="89" spans="2:10">
      <c r="B89" s="1514">
        <v>82</v>
      </c>
      <c r="C89" s="1515" t="s">
        <v>596</v>
      </c>
      <c r="D89" s="1516"/>
      <c r="E89" s="1514" t="s">
        <v>2952</v>
      </c>
      <c r="F89" s="1517" t="s">
        <v>2953</v>
      </c>
      <c r="G89" s="1518" t="s">
        <v>2959</v>
      </c>
      <c r="H89" s="1518" t="s">
        <v>2951</v>
      </c>
      <c r="I89" s="1519">
        <v>374208</v>
      </c>
      <c r="J89" t="s">
        <v>2961</v>
      </c>
    </row>
    <row r="90" spans="2:10" hidden="1">
      <c r="B90" s="1514">
        <v>83</v>
      </c>
      <c r="C90" s="1515" t="s">
        <v>613</v>
      </c>
      <c r="D90" s="1516"/>
      <c r="E90" s="1514"/>
      <c r="F90" s="1517"/>
      <c r="G90" s="1518" t="s">
        <v>2959</v>
      </c>
      <c r="H90" s="1518" t="s">
        <v>2951</v>
      </c>
      <c r="I90" s="1519">
        <v>192958</v>
      </c>
    </row>
    <row r="91" spans="2:10" hidden="1">
      <c r="B91" s="1514">
        <v>84</v>
      </c>
      <c r="C91" s="1515" t="s">
        <v>367</v>
      </c>
      <c r="D91" s="1516"/>
      <c r="E91" s="1514"/>
      <c r="F91" s="1517"/>
      <c r="G91" s="1518" t="s">
        <v>2959</v>
      </c>
      <c r="H91" s="1518" t="s">
        <v>2951</v>
      </c>
      <c r="I91" s="1519">
        <v>1561707</v>
      </c>
    </row>
    <row r="92" spans="2:10">
      <c r="B92" s="1514"/>
      <c r="C92" s="1515"/>
      <c r="D92" s="1516"/>
      <c r="E92" s="1514"/>
      <c r="F92" s="1517"/>
      <c r="G92" s="1518"/>
      <c r="H92" s="1518"/>
      <c r="I92" s="1520"/>
    </row>
    <row r="93" spans="2:10">
      <c r="B93" s="1521"/>
      <c r="C93" s="1522"/>
      <c r="D93" s="1523"/>
      <c r="E93" s="1521"/>
      <c r="F93" s="1524"/>
      <c r="G93" s="1525"/>
      <c r="H93" s="1525"/>
      <c r="I93" s="1526"/>
    </row>
    <row r="95" spans="2:10">
      <c r="B95" s="146" t="s">
        <v>1231</v>
      </c>
      <c r="C95" s="1527" t="s">
        <v>2960</v>
      </c>
      <c r="E95" s="1528"/>
      <c r="F95" s="1528"/>
    </row>
    <row r="96" spans="2:10">
      <c r="E96" s="1528"/>
      <c r="F96" s="1528"/>
    </row>
  </sheetData>
  <autoFilter ref="B7:I91" xr:uid="{00000000-0009-0000-0000-000023000000}">
    <filterColumn colId="3">
      <customFilters>
        <customFilter operator="notEqual" val=" "/>
      </customFilters>
    </filterColumn>
  </autoFilter>
  <pageMargins left="0.7" right="0.7" top="0.75" bottom="0.75" header="0.3" footer="0.3"/>
  <pageSetup scale="7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E57"/>
  <sheetViews>
    <sheetView workbookViewId="0">
      <selection activeCell="H46" sqref="H46"/>
    </sheetView>
  </sheetViews>
  <sheetFormatPr defaultRowHeight="14.4"/>
  <cols>
    <col min="1" max="2" width="5.6640625" customWidth="1"/>
    <col min="3" max="3" width="30.44140625" bestFit="1" customWidth="1"/>
    <col min="4" max="15" width="4.6640625" customWidth="1"/>
    <col min="16" max="16" width="6.6640625" customWidth="1"/>
    <col min="17" max="17" width="4.6640625" customWidth="1"/>
    <col min="18" max="18" width="6.6640625" customWidth="1"/>
    <col min="19" max="19" width="4.6640625" customWidth="1"/>
    <col min="20" max="20" width="7.33203125" bestFit="1" customWidth="1"/>
    <col min="21" max="21" width="10.6640625" customWidth="1"/>
    <col min="22" max="22" width="11.5546875" bestFit="1" customWidth="1"/>
    <col min="23" max="23" width="10.44140625" bestFit="1" customWidth="1"/>
    <col min="24" max="24" width="10.6640625" customWidth="1"/>
    <col min="27" max="27" width="9.33203125" bestFit="1" customWidth="1"/>
  </cols>
  <sheetData>
    <row r="2" spans="1:31" ht="17.399999999999999">
      <c r="A2" s="2456" t="s">
        <v>785</v>
      </c>
      <c r="B2" s="2456"/>
      <c r="C2" s="2456"/>
      <c r="D2" s="2456"/>
      <c r="E2" s="2456"/>
      <c r="F2" s="2456"/>
      <c r="G2" s="2456"/>
      <c r="H2" s="2456"/>
      <c r="I2" s="2456"/>
      <c r="J2" s="2456"/>
      <c r="K2" s="2456"/>
      <c r="L2" s="2456"/>
      <c r="M2" s="2456"/>
      <c r="N2" s="2456"/>
      <c r="O2" s="2456"/>
      <c r="P2" s="2456"/>
      <c r="Q2" s="2456"/>
      <c r="R2" s="2456"/>
      <c r="S2" s="2456"/>
      <c r="T2" s="2456"/>
      <c r="U2" s="2456"/>
      <c r="V2" s="2456"/>
      <c r="W2" s="2456"/>
      <c r="X2" s="2456"/>
    </row>
    <row r="3" spans="1:31" ht="15.6">
      <c r="A3" s="2457" t="s">
        <v>2664</v>
      </c>
      <c r="B3" s="2457"/>
      <c r="C3" s="2457"/>
      <c r="D3" s="2457"/>
      <c r="E3" s="2457"/>
      <c r="F3" s="2457"/>
      <c r="G3" s="2457"/>
      <c r="H3" s="2457"/>
      <c r="I3" s="2457"/>
      <c r="J3" s="2457"/>
      <c r="K3" s="2457"/>
      <c r="L3" s="2457"/>
      <c r="M3" s="2457"/>
      <c r="N3" s="2457"/>
      <c r="O3" s="2457"/>
      <c r="P3" s="2457"/>
      <c r="Q3" s="2457"/>
      <c r="R3" s="2457"/>
      <c r="S3" s="2457"/>
      <c r="T3" s="2457"/>
      <c r="U3" s="2457"/>
      <c r="V3" s="2457"/>
      <c r="W3" s="2457"/>
      <c r="X3" s="2457"/>
    </row>
    <row r="5" spans="1:31">
      <c r="A5" s="913" t="s">
        <v>2665</v>
      </c>
      <c r="B5" s="914"/>
      <c r="C5" s="913" t="s">
        <v>2666</v>
      </c>
      <c r="D5" s="2451" t="s">
        <v>2667</v>
      </c>
      <c r="E5" s="2452"/>
      <c r="F5" s="2452"/>
      <c r="G5" s="2452"/>
      <c r="H5" s="2452"/>
      <c r="I5" s="2452"/>
      <c r="J5" s="2452"/>
      <c r="K5" s="2452"/>
      <c r="L5" s="2452"/>
      <c r="M5" s="2452"/>
      <c r="N5" s="2452"/>
      <c r="O5" s="2453"/>
      <c r="P5" s="2454" t="s">
        <v>2668</v>
      </c>
      <c r="Q5" s="2455"/>
      <c r="R5" s="2454" t="s">
        <v>2668</v>
      </c>
      <c r="S5" s="2455"/>
      <c r="T5" s="915" t="s">
        <v>2228</v>
      </c>
      <c r="U5" s="915" t="s">
        <v>2669</v>
      </c>
      <c r="V5" s="915" t="s">
        <v>2670</v>
      </c>
      <c r="W5" s="915" t="s">
        <v>2670</v>
      </c>
      <c r="X5" s="915" t="s">
        <v>2228</v>
      </c>
    </row>
    <row r="6" spans="1:31">
      <c r="A6" s="916"/>
      <c r="B6" s="917"/>
      <c r="C6" s="916"/>
      <c r="D6" s="916"/>
      <c r="E6" s="916"/>
      <c r="F6" s="916"/>
      <c r="G6" s="916"/>
      <c r="H6" s="916"/>
      <c r="I6" s="916"/>
      <c r="J6" s="916"/>
      <c r="K6" s="916"/>
      <c r="L6" s="916"/>
      <c r="M6" s="916"/>
      <c r="N6" s="916"/>
      <c r="O6" s="916"/>
      <c r="P6" s="2447" t="s">
        <v>2671</v>
      </c>
      <c r="Q6" s="2448"/>
      <c r="R6" s="2447" t="s">
        <v>2672</v>
      </c>
      <c r="S6" s="2448"/>
      <c r="T6" s="918" t="s">
        <v>2668</v>
      </c>
      <c r="U6" s="918" t="s">
        <v>2673</v>
      </c>
      <c r="V6" s="918" t="s">
        <v>2671</v>
      </c>
      <c r="W6" s="918" t="s">
        <v>2672</v>
      </c>
      <c r="X6" s="918" t="s">
        <v>2075</v>
      </c>
    </row>
    <row r="7" spans="1:31">
      <c r="A7" s="916"/>
      <c r="B7" s="917"/>
      <c r="C7" s="916"/>
      <c r="D7" s="916">
        <v>4</v>
      </c>
      <c r="E7" s="916">
        <v>5</v>
      </c>
      <c r="F7" s="916">
        <v>6</v>
      </c>
      <c r="G7" s="916">
        <v>7</v>
      </c>
      <c r="H7" s="916">
        <v>8</v>
      </c>
      <c r="I7" s="916">
        <v>9</v>
      </c>
      <c r="J7" s="916">
        <v>10</v>
      </c>
      <c r="K7" s="916">
        <v>11</v>
      </c>
      <c r="L7" s="916">
        <v>12</v>
      </c>
      <c r="M7" s="916">
        <v>1</v>
      </c>
      <c r="N7" s="916">
        <v>2</v>
      </c>
      <c r="O7" s="916">
        <v>3</v>
      </c>
      <c r="P7" s="2447" t="s">
        <v>2674</v>
      </c>
      <c r="Q7" s="2448"/>
      <c r="R7" s="2447" t="s">
        <v>2674</v>
      </c>
      <c r="S7" s="2448"/>
      <c r="T7" s="918"/>
      <c r="U7" s="918" t="s">
        <v>2675</v>
      </c>
      <c r="V7" s="918" t="s">
        <v>2674</v>
      </c>
      <c r="W7" s="918" t="s">
        <v>2674</v>
      </c>
      <c r="X7" s="918" t="s">
        <v>2675</v>
      </c>
    </row>
    <row r="8" spans="1:31" ht="15" thickBot="1">
      <c r="A8" s="919"/>
      <c r="B8" s="920"/>
      <c r="C8" s="919"/>
      <c r="D8" s="919"/>
      <c r="E8" s="919"/>
      <c r="F8" s="919"/>
      <c r="G8" s="919"/>
      <c r="H8" s="919"/>
      <c r="I8" s="919"/>
      <c r="J8" s="919"/>
      <c r="K8" s="919"/>
      <c r="L8" s="919"/>
      <c r="M8" s="919"/>
      <c r="N8" s="919"/>
      <c r="O8" s="919"/>
      <c r="P8" s="2449" t="s">
        <v>2676</v>
      </c>
      <c r="Q8" s="2450"/>
      <c r="R8" s="2449" t="s">
        <v>2677</v>
      </c>
      <c r="S8" s="2450"/>
      <c r="T8" s="921"/>
      <c r="U8" s="921"/>
      <c r="V8" s="921" t="s">
        <v>2676</v>
      </c>
      <c r="W8" s="921" t="s">
        <v>2677</v>
      </c>
      <c r="X8" s="921"/>
    </row>
    <row r="9" spans="1:31" ht="24.9" customHeight="1" thickTop="1">
      <c r="A9" s="922">
        <v>1</v>
      </c>
      <c r="B9" s="923" t="s">
        <v>2678</v>
      </c>
      <c r="C9" s="924" t="s">
        <v>2679</v>
      </c>
      <c r="D9" s="925">
        <v>22</v>
      </c>
      <c r="E9" s="925">
        <v>26</v>
      </c>
      <c r="F9" s="925">
        <v>24</v>
      </c>
      <c r="G9" s="925">
        <v>21</v>
      </c>
      <c r="H9" s="925">
        <v>20</v>
      </c>
      <c r="I9" s="925">
        <v>17</v>
      </c>
      <c r="J9" s="925">
        <v>25</v>
      </c>
      <c r="K9" s="925">
        <v>22</v>
      </c>
      <c r="L9" s="925">
        <v>24</v>
      </c>
      <c r="M9" s="926">
        <v>23</v>
      </c>
      <c r="N9" s="926">
        <v>19</v>
      </c>
      <c r="O9" s="927">
        <v>22</v>
      </c>
      <c r="P9" s="928">
        <f t="shared" ref="P9:P33" si="0">SUM(D9:L9)</f>
        <v>201</v>
      </c>
      <c r="Q9" s="922">
        <f t="shared" ref="Q9:Q33" si="1">ROUND(P9/20,0)</f>
        <v>10</v>
      </c>
      <c r="R9" s="929">
        <f>SUM(M9:O9)</f>
        <v>64</v>
      </c>
      <c r="S9" s="929">
        <f t="shared" ref="S9:S33" si="2">ROUND(R9/20,0)</f>
        <v>3</v>
      </c>
      <c r="T9" s="930">
        <f>SUM(Q9+S9)</f>
        <v>13</v>
      </c>
      <c r="U9" s="930">
        <f>ROUND(AA9*60%,0)</f>
        <v>30600</v>
      </c>
      <c r="V9" s="931">
        <f>ROUND(U9/26*Q9,0)</f>
        <v>11769</v>
      </c>
      <c r="W9" s="932">
        <f>ROUND(U9/26*S9,0)</f>
        <v>3531</v>
      </c>
      <c r="X9" s="933">
        <f>SUM(V9:W9)</f>
        <v>15300</v>
      </c>
      <c r="AA9">
        <v>51000</v>
      </c>
      <c r="AC9" s="934"/>
      <c r="AD9" s="934"/>
      <c r="AE9" s="935"/>
    </row>
    <row r="10" spans="1:31" ht="24.9" customHeight="1">
      <c r="A10" s="922">
        <v>2</v>
      </c>
      <c r="B10" s="923" t="s">
        <v>2678</v>
      </c>
      <c r="C10" s="924" t="s">
        <v>2680</v>
      </c>
      <c r="D10" s="922">
        <v>23</v>
      </c>
      <c r="E10" s="922">
        <v>7</v>
      </c>
      <c r="F10" s="922">
        <v>18</v>
      </c>
      <c r="G10" s="922">
        <v>24</v>
      </c>
      <c r="H10" s="922">
        <v>27</v>
      </c>
      <c r="I10" s="922">
        <v>23</v>
      </c>
      <c r="J10" s="922">
        <v>22</v>
      </c>
      <c r="K10" s="922">
        <v>23</v>
      </c>
      <c r="L10" s="922">
        <v>23</v>
      </c>
      <c r="M10" s="926">
        <v>25</v>
      </c>
      <c r="N10" s="926">
        <v>26</v>
      </c>
      <c r="O10" s="927">
        <v>25</v>
      </c>
      <c r="P10" s="928">
        <f t="shared" si="0"/>
        <v>190</v>
      </c>
      <c r="Q10" s="922">
        <f t="shared" si="1"/>
        <v>10</v>
      </c>
      <c r="R10" s="929">
        <f t="shared" ref="R10:R33" si="3">SUM(M10:O10)</f>
        <v>76</v>
      </c>
      <c r="S10" s="929">
        <f t="shared" si="2"/>
        <v>4</v>
      </c>
      <c r="T10" s="930">
        <f t="shared" ref="T10:T33" si="4">SUM(Q10+S10)</f>
        <v>14</v>
      </c>
      <c r="U10" s="930">
        <f t="shared" ref="U10:U33" si="5">ROUND(AA10*60%,0)</f>
        <v>16200</v>
      </c>
      <c r="V10" s="931">
        <f t="shared" ref="V10:V33" si="6">ROUND(U10/26*Q10,0)</f>
        <v>6231</v>
      </c>
      <c r="W10" s="932">
        <f t="shared" ref="W10:W33" si="7">ROUND(U10/26*S10,0)</f>
        <v>2492</v>
      </c>
      <c r="X10" s="933">
        <f t="shared" ref="X10:X33" si="8">SUM(V10:W10)</f>
        <v>8723</v>
      </c>
      <c r="AA10">
        <v>27000</v>
      </c>
      <c r="AC10" s="934"/>
      <c r="AD10" s="934"/>
      <c r="AE10" s="935"/>
    </row>
    <row r="11" spans="1:31" ht="24.9" customHeight="1">
      <c r="A11" s="922">
        <v>3</v>
      </c>
      <c r="B11" s="923" t="s">
        <v>2678</v>
      </c>
      <c r="C11" s="924" t="s">
        <v>2681</v>
      </c>
      <c r="D11" s="925">
        <v>25</v>
      </c>
      <c r="E11" s="925">
        <v>26</v>
      </c>
      <c r="F11" s="925">
        <v>19</v>
      </c>
      <c r="G11" s="925">
        <v>25</v>
      </c>
      <c r="H11" s="925">
        <v>21</v>
      </c>
      <c r="I11" s="925">
        <v>24</v>
      </c>
      <c r="J11" s="925">
        <v>21</v>
      </c>
      <c r="K11" s="925">
        <v>24</v>
      </c>
      <c r="L11" s="925">
        <v>18</v>
      </c>
      <c r="M11" s="926">
        <v>26</v>
      </c>
      <c r="N11" s="926">
        <v>26</v>
      </c>
      <c r="O11" s="927">
        <v>24</v>
      </c>
      <c r="P11" s="928">
        <f t="shared" si="0"/>
        <v>203</v>
      </c>
      <c r="Q11" s="922">
        <f t="shared" si="1"/>
        <v>10</v>
      </c>
      <c r="R11" s="929">
        <f t="shared" si="3"/>
        <v>76</v>
      </c>
      <c r="S11" s="929">
        <f t="shared" si="2"/>
        <v>4</v>
      </c>
      <c r="T11" s="930">
        <f t="shared" si="4"/>
        <v>14</v>
      </c>
      <c r="U11" s="930">
        <f t="shared" si="5"/>
        <v>13200</v>
      </c>
      <c r="V11" s="931">
        <f t="shared" si="6"/>
        <v>5077</v>
      </c>
      <c r="W11" s="932">
        <f t="shared" si="7"/>
        <v>2031</v>
      </c>
      <c r="X11" s="933">
        <f t="shared" si="8"/>
        <v>7108</v>
      </c>
      <c r="AA11">
        <v>22000</v>
      </c>
      <c r="AC11" s="934"/>
      <c r="AD11" s="934"/>
      <c r="AE11" s="935"/>
    </row>
    <row r="12" spans="1:31" ht="24.9" customHeight="1">
      <c r="A12" s="922">
        <v>4</v>
      </c>
      <c r="B12" s="923" t="s">
        <v>2678</v>
      </c>
      <c r="C12" s="924" t="s">
        <v>2682</v>
      </c>
      <c r="D12" s="922">
        <v>26</v>
      </c>
      <c r="E12" s="922">
        <v>24</v>
      </c>
      <c r="F12" s="922">
        <v>26</v>
      </c>
      <c r="G12" s="922">
        <v>22</v>
      </c>
      <c r="H12" s="922">
        <v>26</v>
      </c>
      <c r="I12" s="922">
        <v>25</v>
      </c>
      <c r="J12" s="922">
        <v>25</v>
      </c>
      <c r="K12" s="922">
        <v>12</v>
      </c>
      <c r="L12" s="922">
        <v>25</v>
      </c>
      <c r="M12" s="926">
        <v>23</v>
      </c>
      <c r="N12" s="926">
        <v>26</v>
      </c>
      <c r="O12" s="927">
        <v>22</v>
      </c>
      <c r="P12" s="928">
        <f t="shared" si="0"/>
        <v>211</v>
      </c>
      <c r="Q12" s="922">
        <f t="shared" si="1"/>
        <v>11</v>
      </c>
      <c r="R12" s="929">
        <f t="shared" si="3"/>
        <v>71</v>
      </c>
      <c r="S12" s="929">
        <f t="shared" si="2"/>
        <v>4</v>
      </c>
      <c r="T12" s="930">
        <f t="shared" si="4"/>
        <v>15</v>
      </c>
      <c r="U12" s="930">
        <f t="shared" si="5"/>
        <v>13200</v>
      </c>
      <c r="V12" s="931">
        <f t="shared" si="6"/>
        <v>5585</v>
      </c>
      <c r="W12" s="932">
        <f t="shared" si="7"/>
        <v>2031</v>
      </c>
      <c r="X12" s="933">
        <f t="shared" si="8"/>
        <v>7616</v>
      </c>
      <c r="AA12">
        <v>22000</v>
      </c>
      <c r="AC12" s="934"/>
      <c r="AD12" s="934"/>
      <c r="AE12" s="935"/>
    </row>
    <row r="13" spans="1:31" ht="24.9" customHeight="1">
      <c r="A13" s="922">
        <v>5</v>
      </c>
      <c r="B13" s="923" t="s">
        <v>2678</v>
      </c>
      <c r="C13" s="924" t="s">
        <v>455</v>
      </c>
      <c r="D13" s="925">
        <v>25</v>
      </c>
      <c r="E13" s="925">
        <v>21</v>
      </c>
      <c r="F13" s="925">
        <v>23</v>
      </c>
      <c r="G13" s="925">
        <v>25</v>
      </c>
      <c r="H13" s="925">
        <v>26</v>
      </c>
      <c r="I13" s="925">
        <v>22</v>
      </c>
      <c r="J13" s="925">
        <v>27</v>
      </c>
      <c r="K13" s="925">
        <v>25</v>
      </c>
      <c r="L13" s="925">
        <v>25</v>
      </c>
      <c r="M13" s="926">
        <v>26</v>
      </c>
      <c r="N13" s="926">
        <v>26</v>
      </c>
      <c r="O13" s="927">
        <v>25</v>
      </c>
      <c r="P13" s="928">
        <f t="shared" si="0"/>
        <v>219</v>
      </c>
      <c r="Q13" s="922">
        <f t="shared" si="1"/>
        <v>11</v>
      </c>
      <c r="R13" s="929">
        <f t="shared" si="3"/>
        <v>77</v>
      </c>
      <c r="S13" s="929">
        <f t="shared" si="2"/>
        <v>4</v>
      </c>
      <c r="T13" s="930">
        <f t="shared" si="4"/>
        <v>15</v>
      </c>
      <c r="U13" s="930">
        <f t="shared" si="5"/>
        <v>9060</v>
      </c>
      <c r="V13" s="931">
        <f t="shared" si="6"/>
        <v>3833</v>
      </c>
      <c r="W13" s="932">
        <f t="shared" si="7"/>
        <v>1394</v>
      </c>
      <c r="X13" s="933">
        <f t="shared" si="8"/>
        <v>5227</v>
      </c>
      <c r="AA13">
        <v>15100</v>
      </c>
      <c r="AC13" s="934"/>
      <c r="AD13" s="934"/>
      <c r="AE13" s="935"/>
    </row>
    <row r="14" spans="1:31" ht="24.9" customHeight="1">
      <c r="A14" s="922">
        <v>6</v>
      </c>
      <c r="B14" s="923" t="s">
        <v>2678</v>
      </c>
      <c r="C14" s="924" t="s">
        <v>2683</v>
      </c>
      <c r="D14" s="922">
        <v>21</v>
      </c>
      <c r="E14" s="922">
        <v>24</v>
      </c>
      <c r="F14" s="922">
        <v>23</v>
      </c>
      <c r="G14" s="922">
        <v>25</v>
      </c>
      <c r="H14" s="922">
        <v>26</v>
      </c>
      <c r="I14" s="922">
        <v>24</v>
      </c>
      <c r="J14" s="922">
        <v>23</v>
      </c>
      <c r="K14" s="922">
        <v>24</v>
      </c>
      <c r="L14" s="922">
        <v>25</v>
      </c>
      <c r="M14" s="926">
        <v>23</v>
      </c>
      <c r="N14" s="926">
        <v>23</v>
      </c>
      <c r="O14" s="927">
        <v>23</v>
      </c>
      <c r="P14" s="928">
        <f t="shared" si="0"/>
        <v>215</v>
      </c>
      <c r="Q14" s="922">
        <f t="shared" si="1"/>
        <v>11</v>
      </c>
      <c r="R14" s="929">
        <f t="shared" si="3"/>
        <v>69</v>
      </c>
      <c r="S14" s="929">
        <f t="shared" si="2"/>
        <v>3</v>
      </c>
      <c r="T14" s="930">
        <f t="shared" si="4"/>
        <v>14</v>
      </c>
      <c r="U14" s="930">
        <f t="shared" si="5"/>
        <v>9060</v>
      </c>
      <c r="V14" s="931">
        <f t="shared" si="6"/>
        <v>3833</v>
      </c>
      <c r="W14" s="932">
        <f t="shared" si="7"/>
        <v>1045</v>
      </c>
      <c r="X14" s="933">
        <f t="shared" si="8"/>
        <v>4878</v>
      </c>
      <c r="AA14">
        <v>15100</v>
      </c>
      <c r="AC14" s="934"/>
      <c r="AD14" s="934"/>
      <c r="AE14" s="935"/>
    </row>
    <row r="15" spans="1:31" ht="24.9" customHeight="1">
      <c r="A15" s="922">
        <v>7</v>
      </c>
      <c r="B15" s="923" t="s">
        <v>2678</v>
      </c>
      <c r="C15" s="924" t="s">
        <v>2684</v>
      </c>
      <c r="D15" s="925">
        <v>24</v>
      </c>
      <c r="E15" s="925">
        <v>25</v>
      </c>
      <c r="F15" s="925">
        <v>25</v>
      </c>
      <c r="G15" s="925">
        <v>26</v>
      </c>
      <c r="H15" s="925">
        <v>22</v>
      </c>
      <c r="I15" s="925">
        <v>23</v>
      </c>
      <c r="J15" s="925">
        <v>25</v>
      </c>
      <c r="K15" s="925">
        <v>25</v>
      </c>
      <c r="L15" s="925">
        <v>24</v>
      </c>
      <c r="M15" s="926">
        <v>26</v>
      </c>
      <c r="N15" s="926">
        <v>26</v>
      </c>
      <c r="O15" s="927">
        <v>25</v>
      </c>
      <c r="P15" s="928">
        <f t="shared" si="0"/>
        <v>219</v>
      </c>
      <c r="Q15" s="922">
        <f t="shared" si="1"/>
        <v>11</v>
      </c>
      <c r="R15" s="929">
        <f t="shared" si="3"/>
        <v>77</v>
      </c>
      <c r="S15" s="929">
        <f t="shared" si="2"/>
        <v>4</v>
      </c>
      <c r="T15" s="930">
        <f t="shared" si="4"/>
        <v>15</v>
      </c>
      <c r="U15" s="930">
        <f t="shared" si="5"/>
        <v>9060</v>
      </c>
      <c r="V15" s="931">
        <f t="shared" si="6"/>
        <v>3833</v>
      </c>
      <c r="W15" s="932">
        <f t="shared" si="7"/>
        <v>1394</v>
      </c>
      <c r="X15" s="933">
        <f t="shared" si="8"/>
        <v>5227</v>
      </c>
      <c r="AA15">
        <v>15100</v>
      </c>
      <c r="AC15" s="934"/>
      <c r="AD15" s="934"/>
      <c r="AE15" s="935"/>
    </row>
    <row r="16" spans="1:31" ht="24.9" customHeight="1">
      <c r="A16" s="922">
        <v>8</v>
      </c>
      <c r="B16" s="923" t="s">
        <v>2678</v>
      </c>
      <c r="C16" s="924" t="s">
        <v>2685</v>
      </c>
      <c r="D16" s="922">
        <v>24</v>
      </c>
      <c r="E16" s="922">
        <v>24</v>
      </c>
      <c r="F16" s="922">
        <v>22</v>
      </c>
      <c r="G16" s="922">
        <v>26</v>
      </c>
      <c r="H16" s="922">
        <v>22</v>
      </c>
      <c r="I16" s="922">
        <v>24</v>
      </c>
      <c r="J16" s="922">
        <v>22</v>
      </c>
      <c r="K16" s="922">
        <v>24</v>
      </c>
      <c r="L16" s="922">
        <v>22</v>
      </c>
      <c r="M16" s="926">
        <v>23</v>
      </c>
      <c r="N16" s="926">
        <v>26</v>
      </c>
      <c r="O16" s="927">
        <v>24</v>
      </c>
      <c r="P16" s="928">
        <f t="shared" si="0"/>
        <v>210</v>
      </c>
      <c r="Q16" s="922">
        <f t="shared" si="1"/>
        <v>11</v>
      </c>
      <c r="R16" s="929">
        <f t="shared" si="3"/>
        <v>73</v>
      </c>
      <c r="S16" s="929">
        <f t="shared" si="2"/>
        <v>4</v>
      </c>
      <c r="T16" s="930">
        <f t="shared" si="4"/>
        <v>15</v>
      </c>
      <c r="U16" s="930">
        <f t="shared" si="5"/>
        <v>8280</v>
      </c>
      <c r="V16" s="931">
        <f t="shared" si="6"/>
        <v>3503</v>
      </c>
      <c r="W16" s="932">
        <f t="shared" si="7"/>
        <v>1274</v>
      </c>
      <c r="X16" s="933">
        <f t="shared" si="8"/>
        <v>4777</v>
      </c>
      <c r="AA16">
        <v>13800</v>
      </c>
      <c r="AC16" s="934"/>
      <c r="AD16" s="934"/>
      <c r="AE16" s="935"/>
    </row>
    <row r="17" spans="1:31" ht="24.9" customHeight="1">
      <c r="A17" s="922">
        <v>9</v>
      </c>
      <c r="B17" s="923" t="s">
        <v>2678</v>
      </c>
      <c r="C17" s="924" t="s">
        <v>2686</v>
      </c>
      <c r="D17" s="925">
        <v>24</v>
      </c>
      <c r="E17" s="925">
        <v>21</v>
      </c>
      <c r="F17" s="925">
        <v>23</v>
      </c>
      <c r="G17" s="925">
        <v>23</v>
      </c>
      <c r="H17" s="925">
        <v>25</v>
      </c>
      <c r="I17" s="925">
        <v>21</v>
      </c>
      <c r="J17" s="925">
        <v>25</v>
      </c>
      <c r="K17" s="925">
        <v>25</v>
      </c>
      <c r="L17" s="925">
        <v>21</v>
      </c>
      <c r="M17" s="926">
        <v>26</v>
      </c>
      <c r="N17" s="926">
        <v>20</v>
      </c>
      <c r="O17" s="927">
        <v>26</v>
      </c>
      <c r="P17" s="928">
        <f t="shared" si="0"/>
        <v>208</v>
      </c>
      <c r="Q17" s="922">
        <f t="shared" si="1"/>
        <v>10</v>
      </c>
      <c r="R17" s="929">
        <f t="shared" si="3"/>
        <v>72</v>
      </c>
      <c r="S17" s="929">
        <f t="shared" si="2"/>
        <v>4</v>
      </c>
      <c r="T17" s="930">
        <f t="shared" si="4"/>
        <v>14</v>
      </c>
      <c r="U17" s="930">
        <f t="shared" si="5"/>
        <v>8520</v>
      </c>
      <c r="V17" s="931">
        <f t="shared" si="6"/>
        <v>3277</v>
      </c>
      <c r="W17" s="932">
        <f t="shared" si="7"/>
        <v>1311</v>
      </c>
      <c r="X17" s="933">
        <f t="shared" si="8"/>
        <v>4588</v>
      </c>
      <c r="AA17">
        <v>14200</v>
      </c>
      <c r="AC17" s="934"/>
      <c r="AD17" s="934"/>
      <c r="AE17" s="935"/>
    </row>
    <row r="18" spans="1:31" ht="24.9" customHeight="1">
      <c r="A18" s="922">
        <v>10</v>
      </c>
      <c r="B18" s="923" t="s">
        <v>2678</v>
      </c>
      <c r="C18" s="924" t="s">
        <v>2687</v>
      </c>
      <c r="D18" s="922">
        <v>22</v>
      </c>
      <c r="E18" s="922">
        <v>22</v>
      </c>
      <c r="F18" s="922">
        <v>22</v>
      </c>
      <c r="G18" s="922">
        <v>22</v>
      </c>
      <c r="H18" s="922">
        <v>23</v>
      </c>
      <c r="I18" s="922">
        <v>19</v>
      </c>
      <c r="J18" s="922">
        <v>22</v>
      </c>
      <c r="K18" s="922">
        <v>24</v>
      </c>
      <c r="L18" s="922">
        <v>21</v>
      </c>
      <c r="M18" s="926">
        <v>23</v>
      </c>
      <c r="N18" s="926">
        <v>20</v>
      </c>
      <c r="O18" s="927">
        <v>22</v>
      </c>
      <c r="P18" s="928">
        <f t="shared" si="0"/>
        <v>197</v>
      </c>
      <c r="Q18" s="922">
        <f t="shared" si="1"/>
        <v>10</v>
      </c>
      <c r="R18" s="929">
        <f t="shared" si="3"/>
        <v>65</v>
      </c>
      <c r="S18" s="929">
        <f t="shared" si="2"/>
        <v>3</v>
      </c>
      <c r="T18" s="930">
        <f t="shared" si="4"/>
        <v>13</v>
      </c>
      <c r="U18" s="930">
        <f t="shared" si="5"/>
        <v>8340</v>
      </c>
      <c r="V18" s="931">
        <f t="shared" si="6"/>
        <v>3208</v>
      </c>
      <c r="W18" s="932">
        <f t="shared" si="7"/>
        <v>962</v>
      </c>
      <c r="X18" s="933">
        <f t="shared" si="8"/>
        <v>4170</v>
      </c>
      <c r="AA18">
        <v>13900</v>
      </c>
      <c r="AC18" s="934"/>
      <c r="AD18" s="934"/>
      <c r="AE18" s="935"/>
    </row>
    <row r="19" spans="1:31" ht="24.9" customHeight="1">
      <c r="A19" s="922">
        <v>11</v>
      </c>
      <c r="B19" s="923" t="s">
        <v>2678</v>
      </c>
      <c r="C19" s="924" t="s">
        <v>2688</v>
      </c>
      <c r="D19" s="925">
        <v>25</v>
      </c>
      <c r="E19" s="925">
        <v>22</v>
      </c>
      <c r="F19" s="925">
        <v>25</v>
      </c>
      <c r="G19" s="925">
        <v>22</v>
      </c>
      <c r="H19" s="925">
        <v>25</v>
      </c>
      <c r="I19" s="925">
        <v>22</v>
      </c>
      <c r="J19" s="925">
        <v>24</v>
      </c>
      <c r="K19" s="925">
        <v>16</v>
      </c>
      <c r="L19" s="925">
        <v>24</v>
      </c>
      <c r="M19" s="926">
        <v>22</v>
      </c>
      <c r="N19" s="926">
        <v>26</v>
      </c>
      <c r="O19" s="927">
        <v>23</v>
      </c>
      <c r="P19" s="928">
        <f t="shared" si="0"/>
        <v>205</v>
      </c>
      <c r="Q19" s="922">
        <f t="shared" si="1"/>
        <v>10</v>
      </c>
      <c r="R19" s="929">
        <f t="shared" si="3"/>
        <v>71</v>
      </c>
      <c r="S19" s="929">
        <f t="shared" si="2"/>
        <v>4</v>
      </c>
      <c r="T19" s="930">
        <f t="shared" si="4"/>
        <v>14</v>
      </c>
      <c r="U19" s="930">
        <f t="shared" si="5"/>
        <v>8400</v>
      </c>
      <c r="V19" s="931">
        <f t="shared" si="6"/>
        <v>3231</v>
      </c>
      <c r="W19" s="932">
        <f t="shared" si="7"/>
        <v>1292</v>
      </c>
      <c r="X19" s="933">
        <f t="shared" si="8"/>
        <v>4523</v>
      </c>
      <c r="AA19">
        <v>14000</v>
      </c>
      <c r="AC19" s="934"/>
      <c r="AD19" s="934"/>
      <c r="AE19" s="935"/>
    </row>
    <row r="20" spans="1:31" ht="24.9" customHeight="1">
      <c r="A20" s="922">
        <v>12</v>
      </c>
      <c r="B20" s="923" t="s">
        <v>2678</v>
      </c>
      <c r="C20" s="936" t="s">
        <v>2689</v>
      </c>
      <c r="D20" s="922">
        <v>22</v>
      </c>
      <c r="E20" s="922">
        <v>24</v>
      </c>
      <c r="F20" s="922">
        <v>18</v>
      </c>
      <c r="G20" s="922">
        <v>21</v>
      </c>
      <c r="H20" s="922">
        <v>20</v>
      </c>
      <c r="I20" s="922">
        <v>21</v>
      </c>
      <c r="J20" s="922">
        <v>25</v>
      </c>
      <c r="K20" s="922">
        <v>24</v>
      </c>
      <c r="L20" s="922">
        <v>17</v>
      </c>
      <c r="M20" s="926">
        <v>22</v>
      </c>
      <c r="N20" s="926">
        <v>21</v>
      </c>
      <c r="O20" s="927">
        <v>22</v>
      </c>
      <c r="P20" s="928">
        <f t="shared" si="0"/>
        <v>192</v>
      </c>
      <c r="Q20" s="922">
        <f t="shared" si="1"/>
        <v>10</v>
      </c>
      <c r="R20" s="929">
        <f t="shared" si="3"/>
        <v>65</v>
      </c>
      <c r="S20" s="929">
        <f t="shared" si="2"/>
        <v>3</v>
      </c>
      <c r="T20" s="930">
        <f t="shared" si="4"/>
        <v>13</v>
      </c>
      <c r="U20" s="930">
        <f t="shared" si="5"/>
        <v>7560</v>
      </c>
      <c r="V20" s="931">
        <f t="shared" si="6"/>
        <v>2908</v>
      </c>
      <c r="W20" s="932">
        <f t="shared" si="7"/>
        <v>872</v>
      </c>
      <c r="X20" s="933">
        <f t="shared" si="8"/>
        <v>3780</v>
      </c>
      <c r="AA20">
        <v>12600</v>
      </c>
      <c r="AC20" s="934"/>
      <c r="AD20" s="934"/>
      <c r="AE20" s="935"/>
    </row>
    <row r="21" spans="1:31" ht="24.9" customHeight="1">
      <c r="A21" s="922">
        <v>13</v>
      </c>
      <c r="B21" s="923" t="s">
        <v>2678</v>
      </c>
      <c r="C21" s="924" t="s">
        <v>2690</v>
      </c>
      <c r="D21" s="925">
        <v>23</v>
      </c>
      <c r="E21" s="925">
        <v>17</v>
      </c>
      <c r="F21" s="925">
        <v>23</v>
      </c>
      <c r="G21" s="925">
        <v>24</v>
      </c>
      <c r="H21" s="925">
        <v>24</v>
      </c>
      <c r="I21" s="925">
        <v>19</v>
      </c>
      <c r="J21" s="925">
        <v>26</v>
      </c>
      <c r="K21" s="925">
        <v>22</v>
      </c>
      <c r="L21" s="925">
        <v>23</v>
      </c>
      <c r="M21" s="926">
        <v>23</v>
      </c>
      <c r="N21" s="926">
        <v>26</v>
      </c>
      <c r="O21" s="927">
        <v>23</v>
      </c>
      <c r="P21" s="928">
        <f t="shared" si="0"/>
        <v>201</v>
      </c>
      <c r="Q21" s="922">
        <f t="shared" si="1"/>
        <v>10</v>
      </c>
      <c r="R21" s="929">
        <f t="shared" si="3"/>
        <v>72</v>
      </c>
      <c r="S21" s="929">
        <f t="shared" si="2"/>
        <v>4</v>
      </c>
      <c r="T21" s="930">
        <f t="shared" si="4"/>
        <v>14</v>
      </c>
      <c r="U21" s="930">
        <f t="shared" si="5"/>
        <v>7140</v>
      </c>
      <c r="V21" s="931">
        <f t="shared" si="6"/>
        <v>2746</v>
      </c>
      <c r="W21" s="932">
        <f t="shared" si="7"/>
        <v>1098</v>
      </c>
      <c r="X21" s="933">
        <f t="shared" si="8"/>
        <v>3844</v>
      </c>
      <c r="AA21">
        <v>11900</v>
      </c>
      <c r="AC21" s="934"/>
      <c r="AD21" s="934"/>
      <c r="AE21" s="935"/>
    </row>
    <row r="22" spans="1:31" ht="24.9" customHeight="1">
      <c r="A22" s="922">
        <v>14</v>
      </c>
      <c r="B22" s="923" t="s">
        <v>2678</v>
      </c>
      <c r="C22" s="924" t="s">
        <v>2691</v>
      </c>
      <c r="D22" s="922">
        <v>23</v>
      </c>
      <c r="E22" s="922">
        <v>22</v>
      </c>
      <c r="F22" s="922">
        <v>18</v>
      </c>
      <c r="G22" s="922">
        <v>24</v>
      </c>
      <c r="H22" s="922">
        <v>20</v>
      </c>
      <c r="I22" s="922">
        <v>21</v>
      </c>
      <c r="J22" s="922">
        <v>23</v>
      </c>
      <c r="K22" s="922">
        <v>17</v>
      </c>
      <c r="L22" s="922">
        <v>22</v>
      </c>
      <c r="M22" s="926">
        <v>21</v>
      </c>
      <c r="N22" s="926">
        <v>21</v>
      </c>
      <c r="O22" s="927">
        <v>18</v>
      </c>
      <c r="P22" s="928">
        <f t="shared" si="0"/>
        <v>190</v>
      </c>
      <c r="Q22" s="922">
        <f t="shared" si="1"/>
        <v>10</v>
      </c>
      <c r="R22" s="929">
        <f t="shared" si="3"/>
        <v>60</v>
      </c>
      <c r="S22" s="929">
        <f t="shared" si="2"/>
        <v>3</v>
      </c>
      <c r="T22" s="930">
        <f t="shared" si="4"/>
        <v>13</v>
      </c>
      <c r="U22" s="930">
        <f t="shared" si="5"/>
        <v>6720</v>
      </c>
      <c r="V22" s="931">
        <f t="shared" si="6"/>
        <v>2585</v>
      </c>
      <c r="W22" s="932">
        <f t="shared" si="7"/>
        <v>775</v>
      </c>
      <c r="X22" s="933">
        <f t="shared" si="8"/>
        <v>3360</v>
      </c>
      <c r="AA22">
        <v>11200</v>
      </c>
      <c r="AC22" s="934"/>
      <c r="AD22" s="934"/>
      <c r="AE22" s="935"/>
    </row>
    <row r="23" spans="1:31" ht="24.9" customHeight="1">
      <c r="A23" s="922">
        <v>15</v>
      </c>
      <c r="B23" s="923" t="s">
        <v>2678</v>
      </c>
      <c r="C23" s="924" t="s">
        <v>2692</v>
      </c>
      <c r="D23" s="925">
        <v>13</v>
      </c>
      <c r="E23" s="925">
        <v>26</v>
      </c>
      <c r="F23" s="925">
        <v>24</v>
      </c>
      <c r="G23" s="925">
        <v>24</v>
      </c>
      <c r="H23" s="925">
        <v>25</v>
      </c>
      <c r="I23" s="925">
        <v>5</v>
      </c>
      <c r="J23" s="925">
        <v>21</v>
      </c>
      <c r="K23" s="925">
        <v>25</v>
      </c>
      <c r="L23" s="925">
        <v>25</v>
      </c>
      <c r="M23" s="926">
        <v>27</v>
      </c>
      <c r="N23" s="926">
        <v>26</v>
      </c>
      <c r="O23" s="927">
        <v>24</v>
      </c>
      <c r="P23" s="928">
        <f t="shared" si="0"/>
        <v>188</v>
      </c>
      <c r="Q23" s="922">
        <f t="shared" si="1"/>
        <v>9</v>
      </c>
      <c r="R23" s="929">
        <f t="shared" si="3"/>
        <v>77</v>
      </c>
      <c r="S23" s="929">
        <f t="shared" si="2"/>
        <v>4</v>
      </c>
      <c r="T23" s="930">
        <f t="shared" si="4"/>
        <v>13</v>
      </c>
      <c r="U23" s="930">
        <f t="shared" si="5"/>
        <v>10560</v>
      </c>
      <c r="V23" s="931">
        <f t="shared" si="6"/>
        <v>3655</v>
      </c>
      <c r="W23" s="932">
        <f t="shared" si="7"/>
        <v>1625</v>
      </c>
      <c r="X23" s="933">
        <f t="shared" si="8"/>
        <v>5280</v>
      </c>
      <c r="AA23">
        <v>17600</v>
      </c>
      <c r="AC23" s="934"/>
      <c r="AD23" s="934"/>
      <c r="AE23" s="935"/>
    </row>
    <row r="24" spans="1:31" ht="24.9" customHeight="1">
      <c r="A24" s="922">
        <v>16</v>
      </c>
      <c r="B24" s="923" t="s">
        <v>2678</v>
      </c>
      <c r="C24" s="924" t="s">
        <v>2693</v>
      </c>
      <c r="D24" s="922">
        <v>22</v>
      </c>
      <c r="E24" s="922">
        <v>21</v>
      </c>
      <c r="F24" s="922">
        <v>14</v>
      </c>
      <c r="G24" s="922">
        <v>22</v>
      </c>
      <c r="H24" s="922">
        <v>20</v>
      </c>
      <c r="I24" s="922">
        <v>19</v>
      </c>
      <c r="J24" s="922">
        <v>22</v>
      </c>
      <c r="K24" s="922">
        <v>23</v>
      </c>
      <c r="L24" s="922">
        <v>19</v>
      </c>
      <c r="M24" s="926">
        <v>17</v>
      </c>
      <c r="N24" s="926">
        <v>16</v>
      </c>
      <c r="O24" s="927">
        <v>17</v>
      </c>
      <c r="P24" s="928">
        <f t="shared" si="0"/>
        <v>182</v>
      </c>
      <c r="Q24" s="922">
        <f t="shared" si="1"/>
        <v>9</v>
      </c>
      <c r="R24" s="929">
        <f t="shared" si="3"/>
        <v>50</v>
      </c>
      <c r="S24" s="929">
        <f t="shared" si="2"/>
        <v>3</v>
      </c>
      <c r="T24" s="930">
        <f t="shared" si="4"/>
        <v>12</v>
      </c>
      <c r="U24" s="930">
        <f t="shared" si="5"/>
        <v>9720</v>
      </c>
      <c r="V24" s="931">
        <f t="shared" si="6"/>
        <v>3365</v>
      </c>
      <c r="W24" s="932">
        <f t="shared" si="7"/>
        <v>1122</v>
      </c>
      <c r="X24" s="933">
        <f t="shared" si="8"/>
        <v>4487</v>
      </c>
      <c r="AA24">
        <v>16200</v>
      </c>
      <c r="AC24" s="934"/>
      <c r="AD24" s="934"/>
      <c r="AE24" s="935"/>
    </row>
    <row r="25" spans="1:31" ht="24.9" customHeight="1">
      <c r="A25" s="922">
        <v>17</v>
      </c>
      <c r="B25" s="923" t="s">
        <v>2678</v>
      </c>
      <c r="C25" s="924" t="s">
        <v>2694</v>
      </c>
      <c r="D25" s="925">
        <v>25</v>
      </c>
      <c r="E25" s="925">
        <v>26</v>
      </c>
      <c r="F25" s="925">
        <v>25</v>
      </c>
      <c r="G25" s="925">
        <v>26</v>
      </c>
      <c r="H25" s="925">
        <v>24</v>
      </c>
      <c r="I25" s="925">
        <v>24</v>
      </c>
      <c r="J25" s="925">
        <v>23</v>
      </c>
      <c r="K25" s="925">
        <v>24</v>
      </c>
      <c r="L25" s="925">
        <v>26</v>
      </c>
      <c r="M25" s="926">
        <v>25</v>
      </c>
      <c r="N25" s="926">
        <v>17</v>
      </c>
      <c r="O25" s="927">
        <v>27</v>
      </c>
      <c r="P25" s="928">
        <f t="shared" si="0"/>
        <v>223</v>
      </c>
      <c r="Q25" s="922">
        <f t="shared" si="1"/>
        <v>11</v>
      </c>
      <c r="R25" s="929">
        <f t="shared" si="3"/>
        <v>69</v>
      </c>
      <c r="S25" s="929">
        <f t="shared" si="2"/>
        <v>3</v>
      </c>
      <c r="T25" s="930">
        <f t="shared" si="4"/>
        <v>14</v>
      </c>
      <c r="U25" s="930">
        <f t="shared" si="5"/>
        <v>9900</v>
      </c>
      <c r="V25" s="931">
        <f t="shared" si="6"/>
        <v>4188</v>
      </c>
      <c r="W25" s="932">
        <f t="shared" si="7"/>
        <v>1142</v>
      </c>
      <c r="X25" s="933">
        <f t="shared" si="8"/>
        <v>5330</v>
      </c>
      <c r="AA25">
        <v>16500</v>
      </c>
      <c r="AC25" s="934"/>
      <c r="AD25" s="934"/>
      <c r="AE25" s="935"/>
    </row>
    <row r="26" spans="1:31" ht="24.9" customHeight="1">
      <c r="A26" s="922">
        <v>18</v>
      </c>
      <c r="B26" s="923" t="s">
        <v>2678</v>
      </c>
      <c r="C26" s="924" t="s">
        <v>2695</v>
      </c>
      <c r="D26" s="922">
        <v>25</v>
      </c>
      <c r="E26" s="922">
        <v>11</v>
      </c>
      <c r="F26" s="922">
        <v>20</v>
      </c>
      <c r="G26" s="922">
        <v>7</v>
      </c>
      <c r="H26" s="922">
        <v>18</v>
      </c>
      <c r="I26" s="922">
        <v>26</v>
      </c>
      <c r="J26" s="922">
        <v>20</v>
      </c>
      <c r="K26" s="922">
        <v>15</v>
      </c>
      <c r="L26" s="922">
        <v>22</v>
      </c>
      <c r="M26" s="926">
        <v>25</v>
      </c>
      <c r="N26" s="926">
        <v>26</v>
      </c>
      <c r="O26" s="927">
        <v>0</v>
      </c>
      <c r="P26" s="928">
        <f t="shared" si="0"/>
        <v>164</v>
      </c>
      <c r="Q26" s="922">
        <f t="shared" si="1"/>
        <v>8</v>
      </c>
      <c r="R26" s="929">
        <f t="shared" si="3"/>
        <v>51</v>
      </c>
      <c r="S26" s="929">
        <f t="shared" si="2"/>
        <v>3</v>
      </c>
      <c r="T26" s="930">
        <f t="shared" si="4"/>
        <v>11</v>
      </c>
      <c r="U26" s="930">
        <f t="shared" si="5"/>
        <v>6300</v>
      </c>
      <c r="V26" s="931">
        <f t="shared" si="6"/>
        <v>1938</v>
      </c>
      <c r="W26" s="932">
        <f t="shared" si="7"/>
        <v>727</v>
      </c>
      <c r="X26" s="933">
        <f t="shared" si="8"/>
        <v>2665</v>
      </c>
      <c r="AA26">
        <v>10500</v>
      </c>
      <c r="AC26" s="934"/>
      <c r="AD26" s="934"/>
      <c r="AE26" s="935"/>
    </row>
    <row r="27" spans="1:31" ht="24.9" customHeight="1">
      <c r="A27" s="922">
        <v>19</v>
      </c>
      <c r="B27" s="923" t="s">
        <v>2678</v>
      </c>
      <c r="C27" s="924" t="s">
        <v>2696</v>
      </c>
      <c r="D27" s="925">
        <v>16</v>
      </c>
      <c r="E27" s="925">
        <v>25</v>
      </c>
      <c r="F27" s="925">
        <v>20</v>
      </c>
      <c r="G27" s="925">
        <v>22</v>
      </c>
      <c r="H27" s="925">
        <v>22</v>
      </c>
      <c r="I27" s="925">
        <v>23</v>
      </c>
      <c r="J27" s="925">
        <v>26</v>
      </c>
      <c r="K27" s="925">
        <v>23</v>
      </c>
      <c r="L27" s="925">
        <v>24</v>
      </c>
      <c r="M27" s="926">
        <v>25</v>
      </c>
      <c r="N27" s="926">
        <v>26</v>
      </c>
      <c r="O27" s="927">
        <v>20</v>
      </c>
      <c r="P27" s="928">
        <f t="shared" si="0"/>
        <v>201</v>
      </c>
      <c r="Q27" s="922">
        <f t="shared" si="1"/>
        <v>10</v>
      </c>
      <c r="R27" s="929">
        <f t="shared" si="3"/>
        <v>71</v>
      </c>
      <c r="S27" s="929">
        <f t="shared" si="2"/>
        <v>4</v>
      </c>
      <c r="T27" s="930">
        <f t="shared" si="4"/>
        <v>14</v>
      </c>
      <c r="U27" s="930">
        <f t="shared" si="5"/>
        <v>9360</v>
      </c>
      <c r="V27" s="931">
        <f t="shared" si="6"/>
        <v>3600</v>
      </c>
      <c r="W27" s="932">
        <f t="shared" si="7"/>
        <v>1440</v>
      </c>
      <c r="X27" s="933">
        <f t="shared" si="8"/>
        <v>5040</v>
      </c>
      <c r="AA27">
        <v>15600</v>
      </c>
      <c r="AC27" s="934"/>
      <c r="AD27" s="934"/>
      <c r="AE27" s="935"/>
    </row>
    <row r="28" spans="1:31" ht="24.9" customHeight="1">
      <c r="A28" s="922">
        <v>20</v>
      </c>
      <c r="B28" s="923" t="s">
        <v>2678</v>
      </c>
      <c r="C28" s="937" t="s">
        <v>151</v>
      </c>
      <c r="D28" s="922">
        <v>21</v>
      </c>
      <c r="E28" s="922">
        <v>26</v>
      </c>
      <c r="F28" s="922">
        <v>18</v>
      </c>
      <c r="G28" s="922">
        <v>23</v>
      </c>
      <c r="H28" s="922">
        <v>23</v>
      </c>
      <c r="I28" s="922">
        <v>22</v>
      </c>
      <c r="J28" s="922">
        <v>23</v>
      </c>
      <c r="K28" s="922">
        <v>22</v>
      </c>
      <c r="L28" s="922">
        <v>19</v>
      </c>
      <c r="M28" s="926">
        <v>20</v>
      </c>
      <c r="N28" s="926">
        <v>21</v>
      </c>
      <c r="O28" s="927">
        <v>22</v>
      </c>
      <c r="P28" s="928">
        <f t="shared" si="0"/>
        <v>197</v>
      </c>
      <c r="Q28" s="922">
        <f t="shared" si="1"/>
        <v>10</v>
      </c>
      <c r="R28" s="929">
        <f t="shared" si="3"/>
        <v>63</v>
      </c>
      <c r="S28" s="929">
        <f t="shared" si="2"/>
        <v>3</v>
      </c>
      <c r="T28" s="930">
        <f t="shared" si="4"/>
        <v>13</v>
      </c>
      <c r="U28" s="930">
        <f t="shared" si="5"/>
        <v>8400</v>
      </c>
      <c r="V28" s="931">
        <f t="shared" si="6"/>
        <v>3231</v>
      </c>
      <c r="W28" s="932">
        <f t="shared" si="7"/>
        <v>969</v>
      </c>
      <c r="X28" s="933">
        <f t="shared" si="8"/>
        <v>4200</v>
      </c>
      <c r="AA28">
        <v>14000</v>
      </c>
      <c r="AC28" s="934"/>
      <c r="AD28" s="934"/>
      <c r="AE28" s="935"/>
    </row>
    <row r="29" spans="1:31" ht="24.9" customHeight="1">
      <c r="A29" s="922">
        <v>21</v>
      </c>
      <c r="B29" s="938" t="s">
        <v>2678</v>
      </c>
      <c r="C29" s="924" t="s">
        <v>2697</v>
      </c>
      <c r="D29" s="925">
        <v>23</v>
      </c>
      <c r="E29" s="925">
        <v>22</v>
      </c>
      <c r="F29" s="925">
        <v>18</v>
      </c>
      <c r="G29" s="925">
        <v>26</v>
      </c>
      <c r="H29" s="925">
        <v>23</v>
      </c>
      <c r="I29" s="925">
        <v>23</v>
      </c>
      <c r="J29" s="925">
        <v>25</v>
      </c>
      <c r="K29" s="925">
        <v>26</v>
      </c>
      <c r="L29" s="925">
        <v>22</v>
      </c>
      <c r="M29" s="926">
        <v>25</v>
      </c>
      <c r="N29" s="926">
        <v>21</v>
      </c>
      <c r="O29" s="927">
        <v>23</v>
      </c>
      <c r="P29" s="928">
        <f t="shared" si="0"/>
        <v>208</v>
      </c>
      <c r="Q29" s="922">
        <f t="shared" si="1"/>
        <v>10</v>
      </c>
      <c r="R29" s="929">
        <f t="shared" si="3"/>
        <v>69</v>
      </c>
      <c r="S29" s="929">
        <f t="shared" si="2"/>
        <v>3</v>
      </c>
      <c r="T29" s="930">
        <f t="shared" si="4"/>
        <v>13</v>
      </c>
      <c r="U29" s="930">
        <f t="shared" si="5"/>
        <v>21000</v>
      </c>
      <c r="V29" s="931">
        <f t="shared" si="6"/>
        <v>8077</v>
      </c>
      <c r="W29" s="932">
        <f t="shared" si="7"/>
        <v>2423</v>
      </c>
      <c r="X29" s="933">
        <f t="shared" si="8"/>
        <v>10500</v>
      </c>
      <c r="AA29">
        <v>35000</v>
      </c>
      <c r="AC29" s="934"/>
      <c r="AD29" s="934"/>
      <c r="AE29" s="935"/>
    </row>
    <row r="30" spans="1:31" ht="24.9" customHeight="1">
      <c r="A30" s="922">
        <v>22</v>
      </c>
      <c r="B30" s="923" t="s">
        <v>2678</v>
      </c>
      <c r="C30" s="924" t="s">
        <v>2698</v>
      </c>
      <c r="D30" s="922">
        <v>24</v>
      </c>
      <c r="E30" s="922">
        <v>25</v>
      </c>
      <c r="F30" s="922">
        <v>26</v>
      </c>
      <c r="G30" s="922">
        <v>26</v>
      </c>
      <c r="H30" s="922">
        <v>27</v>
      </c>
      <c r="I30" s="922">
        <v>25</v>
      </c>
      <c r="J30" s="922">
        <v>27</v>
      </c>
      <c r="K30" s="922">
        <v>26</v>
      </c>
      <c r="L30" s="922">
        <v>26</v>
      </c>
      <c r="M30" s="926">
        <v>18</v>
      </c>
      <c r="N30" s="926">
        <v>26</v>
      </c>
      <c r="O30" s="927">
        <v>25</v>
      </c>
      <c r="P30" s="928">
        <f t="shared" si="0"/>
        <v>232</v>
      </c>
      <c r="Q30" s="922">
        <f t="shared" si="1"/>
        <v>12</v>
      </c>
      <c r="R30" s="929">
        <f t="shared" si="3"/>
        <v>69</v>
      </c>
      <c r="S30" s="929">
        <f t="shared" si="2"/>
        <v>3</v>
      </c>
      <c r="T30" s="930">
        <f t="shared" si="4"/>
        <v>15</v>
      </c>
      <c r="U30" s="930">
        <f t="shared" si="5"/>
        <v>9000</v>
      </c>
      <c r="V30" s="931">
        <f t="shared" si="6"/>
        <v>4154</v>
      </c>
      <c r="W30" s="932">
        <f t="shared" si="7"/>
        <v>1038</v>
      </c>
      <c r="X30" s="933">
        <f t="shared" si="8"/>
        <v>5192</v>
      </c>
      <c r="AA30">
        <v>15000</v>
      </c>
      <c r="AC30" s="934"/>
      <c r="AD30" s="934"/>
      <c r="AE30" s="935"/>
    </row>
    <row r="31" spans="1:31" ht="24.9" customHeight="1">
      <c r="A31" s="939">
        <v>23</v>
      </c>
      <c r="B31" s="923" t="s">
        <v>2678</v>
      </c>
      <c r="C31" s="924" t="s">
        <v>2699</v>
      </c>
      <c r="D31" s="925">
        <v>26</v>
      </c>
      <c r="E31" s="925">
        <v>22</v>
      </c>
      <c r="F31" s="925">
        <v>16</v>
      </c>
      <c r="G31" s="925">
        <v>0</v>
      </c>
      <c r="H31" s="925">
        <v>0</v>
      </c>
      <c r="I31" s="925">
        <v>23</v>
      </c>
      <c r="J31" s="925">
        <v>26</v>
      </c>
      <c r="K31" s="925">
        <v>25</v>
      </c>
      <c r="L31" s="925">
        <v>27</v>
      </c>
      <c r="M31" s="926">
        <v>26</v>
      </c>
      <c r="N31" s="926">
        <v>26</v>
      </c>
      <c r="O31" s="927">
        <v>26</v>
      </c>
      <c r="P31" s="928">
        <f t="shared" si="0"/>
        <v>165</v>
      </c>
      <c r="Q31" s="922">
        <f t="shared" si="1"/>
        <v>8</v>
      </c>
      <c r="R31" s="929">
        <f t="shared" si="3"/>
        <v>78</v>
      </c>
      <c r="S31" s="929">
        <f t="shared" si="2"/>
        <v>4</v>
      </c>
      <c r="T31" s="930">
        <f t="shared" si="4"/>
        <v>12</v>
      </c>
      <c r="U31" s="930">
        <f t="shared" si="5"/>
        <v>8220</v>
      </c>
      <c r="V31" s="931">
        <f t="shared" si="6"/>
        <v>2529</v>
      </c>
      <c r="W31" s="932">
        <f t="shared" si="7"/>
        <v>1265</v>
      </c>
      <c r="X31" s="933">
        <f t="shared" si="8"/>
        <v>3794</v>
      </c>
      <c r="AA31">
        <v>13700</v>
      </c>
      <c r="AC31" s="934"/>
      <c r="AD31" s="934"/>
      <c r="AE31" s="935"/>
    </row>
    <row r="32" spans="1:31" ht="24.9" customHeight="1">
      <c r="A32" s="939">
        <v>24</v>
      </c>
      <c r="B32" s="923" t="s">
        <v>2678</v>
      </c>
      <c r="C32" s="924" t="s">
        <v>2700</v>
      </c>
      <c r="D32" s="922">
        <v>23</v>
      </c>
      <c r="E32" s="922">
        <v>22</v>
      </c>
      <c r="F32" s="922">
        <v>26</v>
      </c>
      <c r="G32" s="922">
        <v>26</v>
      </c>
      <c r="H32" s="922">
        <v>26</v>
      </c>
      <c r="I32" s="922">
        <v>26</v>
      </c>
      <c r="J32" s="922">
        <v>23</v>
      </c>
      <c r="K32" s="922">
        <v>24</v>
      </c>
      <c r="L32" s="922">
        <v>27</v>
      </c>
      <c r="M32" s="926">
        <v>26</v>
      </c>
      <c r="N32" s="926">
        <v>26</v>
      </c>
      <c r="O32" s="927">
        <v>23</v>
      </c>
      <c r="P32" s="928">
        <f t="shared" si="0"/>
        <v>223</v>
      </c>
      <c r="Q32" s="922">
        <f t="shared" si="1"/>
        <v>11</v>
      </c>
      <c r="R32" s="929">
        <f t="shared" si="3"/>
        <v>75</v>
      </c>
      <c r="S32" s="929">
        <f t="shared" si="2"/>
        <v>4</v>
      </c>
      <c r="T32" s="930">
        <f t="shared" si="4"/>
        <v>15</v>
      </c>
      <c r="U32" s="930">
        <f t="shared" si="5"/>
        <v>9000</v>
      </c>
      <c r="V32" s="931">
        <f t="shared" si="6"/>
        <v>3808</v>
      </c>
      <c r="W32" s="932">
        <f t="shared" si="7"/>
        <v>1385</v>
      </c>
      <c r="X32" s="933">
        <f t="shared" si="8"/>
        <v>5193</v>
      </c>
      <c r="AA32">
        <v>15000</v>
      </c>
      <c r="AC32" s="934"/>
      <c r="AD32" s="934"/>
      <c r="AE32" s="935"/>
    </row>
    <row r="33" spans="1:31" ht="24.9" customHeight="1">
      <c r="A33" s="939">
        <v>25</v>
      </c>
      <c r="B33" s="923" t="s">
        <v>2678</v>
      </c>
      <c r="C33" s="940" t="s">
        <v>2701</v>
      </c>
      <c r="D33" s="925">
        <v>0</v>
      </c>
      <c r="E33" s="925">
        <v>0</v>
      </c>
      <c r="F33" s="925">
        <v>19</v>
      </c>
      <c r="G33" s="925">
        <v>24</v>
      </c>
      <c r="H33" s="925">
        <v>24</v>
      </c>
      <c r="I33" s="925">
        <v>24</v>
      </c>
      <c r="J33" s="925">
        <v>25</v>
      </c>
      <c r="K33" s="925">
        <v>22</v>
      </c>
      <c r="L33" s="925">
        <v>25</v>
      </c>
      <c r="M33" s="926">
        <v>25</v>
      </c>
      <c r="N33" s="926">
        <v>22</v>
      </c>
      <c r="O33" s="927">
        <v>23</v>
      </c>
      <c r="P33" s="928">
        <f t="shared" si="0"/>
        <v>163</v>
      </c>
      <c r="Q33" s="922">
        <f t="shared" si="1"/>
        <v>8</v>
      </c>
      <c r="R33" s="929">
        <f t="shared" si="3"/>
        <v>70</v>
      </c>
      <c r="S33" s="929">
        <f t="shared" si="2"/>
        <v>4</v>
      </c>
      <c r="T33" s="930">
        <f t="shared" si="4"/>
        <v>12</v>
      </c>
      <c r="U33" s="930">
        <f t="shared" si="5"/>
        <v>6780</v>
      </c>
      <c r="V33" s="931">
        <f t="shared" si="6"/>
        <v>2086</v>
      </c>
      <c r="W33" s="932">
        <f t="shared" si="7"/>
        <v>1043</v>
      </c>
      <c r="X33" s="933">
        <f t="shared" si="8"/>
        <v>3129</v>
      </c>
      <c r="AA33">
        <v>11300</v>
      </c>
      <c r="AC33" s="934"/>
      <c r="AD33" s="934"/>
      <c r="AE33" s="935"/>
    </row>
    <row r="34" spans="1:31" ht="15.9" customHeight="1">
      <c r="A34" s="913" t="s">
        <v>2665</v>
      </c>
      <c r="B34" s="914"/>
      <c r="C34" s="913" t="s">
        <v>2666</v>
      </c>
      <c r="D34" s="2451" t="s">
        <v>2667</v>
      </c>
      <c r="E34" s="2452"/>
      <c r="F34" s="2452"/>
      <c r="G34" s="2452"/>
      <c r="H34" s="2452"/>
      <c r="I34" s="2452"/>
      <c r="J34" s="2452"/>
      <c r="K34" s="2452"/>
      <c r="L34" s="2452"/>
      <c r="M34" s="2452"/>
      <c r="N34" s="2452"/>
      <c r="O34" s="2453"/>
      <c r="P34" s="2454" t="s">
        <v>2668</v>
      </c>
      <c r="Q34" s="2455"/>
      <c r="R34" s="2454" t="s">
        <v>2668</v>
      </c>
      <c r="S34" s="2455"/>
      <c r="T34" s="915" t="s">
        <v>2228</v>
      </c>
      <c r="U34" s="915" t="s">
        <v>2669</v>
      </c>
      <c r="V34" s="915" t="s">
        <v>2670</v>
      </c>
      <c r="W34" s="915" t="s">
        <v>2670</v>
      </c>
      <c r="X34" s="915" t="s">
        <v>2228</v>
      </c>
      <c r="AC34" s="917"/>
      <c r="AD34" s="917"/>
      <c r="AE34" s="917"/>
    </row>
    <row r="35" spans="1:31" ht="15.9" customHeight="1">
      <c r="A35" s="916"/>
      <c r="B35" s="917"/>
      <c r="C35" s="916"/>
      <c r="D35" s="916"/>
      <c r="E35" s="916"/>
      <c r="F35" s="916"/>
      <c r="G35" s="916"/>
      <c r="H35" s="916"/>
      <c r="I35" s="916"/>
      <c r="J35" s="916"/>
      <c r="K35" s="916"/>
      <c r="L35" s="916"/>
      <c r="M35" s="916"/>
      <c r="N35" s="916"/>
      <c r="O35" s="916"/>
      <c r="P35" s="2447" t="s">
        <v>2671</v>
      </c>
      <c r="Q35" s="2448"/>
      <c r="R35" s="2447" t="s">
        <v>2672</v>
      </c>
      <c r="S35" s="2448"/>
      <c r="T35" s="918" t="s">
        <v>2668</v>
      </c>
      <c r="U35" s="918" t="s">
        <v>2673</v>
      </c>
      <c r="V35" s="918" t="s">
        <v>2671</v>
      </c>
      <c r="W35" s="918" t="s">
        <v>2672</v>
      </c>
      <c r="X35" s="918" t="s">
        <v>2075</v>
      </c>
      <c r="AC35" s="917"/>
      <c r="AD35" s="917"/>
      <c r="AE35" s="917"/>
    </row>
    <row r="36" spans="1:31" ht="15.9" customHeight="1">
      <c r="A36" s="916"/>
      <c r="B36" s="917"/>
      <c r="C36" s="916"/>
      <c r="D36" s="916">
        <v>4</v>
      </c>
      <c r="E36" s="916">
        <v>5</v>
      </c>
      <c r="F36" s="916">
        <v>6</v>
      </c>
      <c r="G36" s="916">
        <v>7</v>
      </c>
      <c r="H36" s="916">
        <v>8</v>
      </c>
      <c r="I36" s="916">
        <v>9</v>
      </c>
      <c r="J36" s="916">
        <v>10</v>
      </c>
      <c r="K36" s="916">
        <v>11</v>
      </c>
      <c r="L36" s="916">
        <v>12</v>
      </c>
      <c r="M36" s="916">
        <v>1</v>
      </c>
      <c r="N36" s="916">
        <v>2</v>
      </c>
      <c r="O36" s="916">
        <v>3</v>
      </c>
      <c r="P36" s="2447" t="s">
        <v>2674</v>
      </c>
      <c r="Q36" s="2448"/>
      <c r="R36" s="2447" t="s">
        <v>2674</v>
      </c>
      <c r="S36" s="2448"/>
      <c r="T36" s="918"/>
      <c r="U36" s="918" t="s">
        <v>2675</v>
      </c>
      <c r="V36" s="918" t="s">
        <v>2674</v>
      </c>
      <c r="W36" s="918" t="s">
        <v>2674</v>
      </c>
      <c r="X36" s="918" t="s">
        <v>2675</v>
      </c>
      <c r="AC36" s="917"/>
      <c r="AD36" s="917"/>
      <c r="AE36" s="917"/>
    </row>
    <row r="37" spans="1:31" ht="15.9" customHeight="1" thickBot="1">
      <c r="A37" s="919"/>
      <c r="B37" s="920"/>
      <c r="C37" s="919"/>
      <c r="D37" s="919"/>
      <c r="E37" s="919"/>
      <c r="F37" s="919"/>
      <c r="G37" s="919"/>
      <c r="H37" s="919"/>
      <c r="I37" s="919"/>
      <c r="J37" s="919"/>
      <c r="K37" s="919"/>
      <c r="L37" s="919"/>
      <c r="M37" s="919"/>
      <c r="N37" s="919"/>
      <c r="O37" s="919"/>
      <c r="P37" s="2449" t="s">
        <v>2676</v>
      </c>
      <c r="Q37" s="2450"/>
      <c r="R37" s="2449" t="s">
        <v>2677</v>
      </c>
      <c r="S37" s="2450"/>
      <c r="T37" s="921"/>
      <c r="U37" s="921"/>
      <c r="V37" s="921" t="s">
        <v>2676</v>
      </c>
      <c r="W37" s="921" t="s">
        <v>2677</v>
      </c>
      <c r="X37" s="921"/>
      <c r="AC37" s="917"/>
      <c r="AD37" s="917"/>
      <c r="AE37" s="917"/>
    </row>
    <row r="38" spans="1:31" ht="24.9" customHeight="1" thickTop="1">
      <c r="A38" s="939">
        <v>26</v>
      </c>
      <c r="B38" s="923" t="s">
        <v>2678</v>
      </c>
      <c r="C38" s="924" t="s">
        <v>2702</v>
      </c>
      <c r="D38" s="925">
        <v>24</v>
      </c>
      <c r="E38" s="925">
        <v>17</v>
      </c>
      <c r="F38" s="925">
        <v>24</v>
      </c>
      <c r="G38" s="925">
        <v>25</v>
      </c>
      <c r="H38" s="925">
        <v>24</v>
      </c>
      <c r="I38" s="925">
        <v>22</v>
      </c>
      <c r="J38" s="925">
        <v>21</v>
      </c>
      <c r="K38" s="925">
        <v>26</v>
      </c>
      <c r="L38" s="925">
        <v>25</v>
      </c>
      <c r="M38" s="926">
        <v>26</v>
      </c>
      <c r="N38" s="926">
        <v>22</v>
      </c>
      <c r="O38" s="927">
        <v>23</v>
      </c>
      <c r="P38" s="928">
        <f t="shared" ref="P38:P55" si="9">SUM(D38:L38)</f>
        <v>208</v>
      </c>
      <c r="Q38" s="922">
        <f t="shared" ref="Q38:Q55" si="10">ROUND(P38/20,0)</f>
        <v>10</v>
      </c>
      <c r="R38" s="929">
        <f t="shared" ref="R38:R55" si="11">SUM(M38:O38)</f>
        <v>71</v>
      </c>
      <c r="S38" s="929">
        <f t="shared" ref="S38:S55" si="12">ROUND(R38/20,0)</f>
        <v>4</v>
      </c>
      <c r="T38" s="930">
        <f t="shared" ref="T38:T55" si="13">SUM(Q38+S38)</f>
        <v>14</v>
      </c>
      <c r="U38" s="930">
        <f t="shared" ref="U38:U55" si="14">ROUND(AA38*60%,0)</f>
        <v>10200</v>
      </c>
      <c r="V38" s="931">
        <f t="shared" ref="V38:V55" si="15">ROUND(U38/26*Q38,0)</f>
        <v>3923</v>
      </c>
      <c r="W38" s="932">
        <f t="shared" ref="W38:W55" si="16">ROUND(U38/26*S38,0)</f>
        <v>1569</v>
      </c>
      <c r="X38" s="933">
        <f t="shared" ref="X38:X55" si="17">SUM(V38:W38)</f>
        <v>5492</v>
      </c>
      <c r="AA38">
        <v>17000</v>
      </c>
      <c r="AC38" s="934"/>
      <c r="AD38" s="934"/>
      <c r="AE38" s="935"/>
    </row>
    <row r="39" spans="1:31" ht="24.9" customHeight="1">
      <c r="A39" s="939">
        <v>27</v>
      </c>
      <c r="B39" s="923" t="s">
        <v>2678</v>
      </c>
      <c r="C39" s="924" t="s">
        <v>2703</v>
      </c>
      <c r="D39" s="922">
        <v>21</v>
      </c>
      <c r="E39" s="922">
        <v>25</v>
      </c>
      <c r="F39" s="922">
        <v>24</v>
      </c>
      <c r="G39" s="922">
        <v>27</v>
      </c>
      <c r="H39" s="922">
        <v>27</v>
      </c>
      <c r="I39" s="922">
        <v>23</v>
      </c>
      <c r="J39" s="922">
        <v>25</v>
      </c>
      <c r="K39" s="922">
        <v>26</v>
      </c>
      <c r="L39" s="922">
        <v>23</v>
      </c>
      <c r="M39" s="926">
        <v>25</v>
      </c>
      <c r="N39" s="926">
        <v>18</v>
      </c>
      <c r="O39" s="927">
        <v>23</v>
      </c>
      <c r="P39" s="928">
        <f t="shared" si="9"/>
        <v>221</v>
      </c>
      <c r="Q39" s="922">
        <f t="shared" si="10"/>
        <v>11</v>
      </c>
      <c r="R39" s="929">
        <f t="shared" si="11"/>
        <v>66</v>
      </c>
      <c r="S39" s="929">
        <f t="shared" si="12"/>
        <v>3</v>
      </c>
      <c r="T39" s="930">
        <f t="shared" si="13"/>
        <v>14</v>
      </c>
      <c r="U39" s="930">
        <f t="shared" si="14"/>
        <v>21000</v>
      </c>
      <c r="V39" s="931">
        <f t="shared" si="15"/>
        <v>8885</v>
      </c>
      <c r="W39" s="932">
        <f t="shared" si="16"/>
        <v>2423</v>
      </c>
      <c r="X39" s="933">
        <f t="shared" si="17"/>
        <v>11308</v>
      </c>
      <c r="AA39">
        <v>35000</v>
      </c>
      <c r="AC39" s="934"/>
      <c r="AD39" s="934"/>
      <c r="AE39" s="935"/>
    </row>
    <row r="40" spans="1:31" ht="24.9" customHeight="1">
      <c r="A40" s="939">
        <v>28</v>
      </c>
      <c r="B40" s="923" t="s">
        <v>2678</v>
      </c>
      <c r="C40" s="924" t="s">
        <v>2704</v>
      </c>
      <c r="D40" s="925">
        <v>12</v>
      </c>
      <c r="E40" s="925">
        <v>25</v>
      </c>
      <c r="F40" s="925">
        <v>25</v>
      </c>
      <c r="G40" s="925">
        <v>24</v>
      </c>
      <c r="H40" s="925">
        <v>22</v>
      </c>
      <c r="I40" s="925">
        <v>15</v>
      </c>
      <c r="J40" s="925">
        <v>23</v>
      </c>
      <c r="K40" s="925">
        <v>19</v>
      </c>
      <c r="L40" s="925">
        <v>25</v>
      </c>
      <c r="M40" s="926">
        <v>24</v>
      </c>
      <c r="N40" s="926">
        <v>26</v>
      </c>
      <c r="O40" s="927">
        <v>25</v>
      </c>
      <c r="P40" s="928">
        <f t="shared" si="9"/>
        <v>190</v>
      </c>
      <c r="Q40" s="922">
        <f t="shared" si="10"/>
        <v>10</v>
      </c>
      <c r="R40" s="929">
        <f t="shared" si="11"/>
        <v>75</v>
      </c>
      <c r="S40" s="929">
        <f t="shared" si="12"/>
        <v>4</v>
      </c>
      <c r="T40" s="930">
        <f t="shared" si="13"/>
        <v>14</v>
      </c>
      <c r="U40" s="930">
        <f t="shared" si="14"/>
        <v>11760</v>
      </c>
      <c r="V40" s="931">
        <f t="shared" si="15"/>
        <v>4523</v>
      </c>
      <c r="W40" s="932">
        <f t="shared" si="16"/>
        <v>1809</v>
      </c>
      <c r="X40" s="933">
        <f t="shared" si="17"/>
        <v>6332</v>
      </c>
      <c r="AA40">
        <v>19600</v>
      </c>
      <c r="AC40" s="934"/>
      <c r="AD40" s="934"/>
      <c r="AE40" s="935"/>
    </row>
    <row r="41" spans="1:31" ht="24.9" customHeight="1">
      <c r="A41" s="939">
        <v>29</v>
      </c>
      <c r="B41" s="923" t="s">
        <v>2678</v>
      </c>
      <c r="C41" s="924" t="s">
        <v>2705</v>
      </c>
      <c r="D41" s="922">
        <v>25</v>
      </c>
      <c r="E41" s="922">
        <v>23</v>
      </c>
      <c r="F41" s="922">
        <v>26</v>
      </c>
      <c r="G41" s="922">
        <v>25</v>
      </c>
      <c r="H41" s="922">
        <v>26</v>
      </c>
      <c r="I41" s="922">
        <v>25</v>
      </c>
      <c r="J41" s="922">
        <v>25</v>
      </c>
      <c r="K41" s="922">
        <v>26</v>
      </c>
      <c r="L41" s="922">
        <v>23</v>
      </c>
      <c r="M41" s="926">
        <v>27</v>
      </c>
      <c r="N41" s="926">
        <v>26</v>
      </c>
      <c r="O41" s="927">
        <v>26</v>
      </c>
      <c r="P41" s="928">
        <f t="shared" si="9"/>
        <v>224</v>
      </c>
      <c r="Q41" s="922">
        <f t="shared" si="10"/>
        <v>11</v>
      </c>
      <c r="R41" s="929">
        <f t="shared" si="11"/>
        <v>79</v>
      </c>
      <c r="S41" s="929">
        <f t="shared" si="12"/>
        <v>4</v>
      </c>
      <c r="T41" s="930">
        <f t="shared" si="13"/>
        <v>15</v>
      </c>
      <c r="U41" s="930">
        <f t="shared" si="14"/>
        <v>10500</v>
      </c>
      <c r="V41" s="931">
        <f t="shared" si="15"/>
        <v>4442</v>
      </c>
      <c r="W41" s="932">
        <f t="shared" si="16"/>
        <v>1615</v>
      </c>
      <c r="X41" s="933">
        <f t="shared" si="17"/>
        <v>6057</v>
      </c>
      <c r="AA41">
        <v>17500</v>
      </c>
      <c r="AC41" s="934"/>
      <c r="AD41" s="934"/>
      <c r="AE41" s="935"/>
    </row>
    <row r="42" spans="1:31" ht="24.9" customHeight="1">
      <c r="A42" s="939">
        <v>30</v>
      </c>
      <c r="B42" s="923" t="s">
        <v>2678</v>
      </c>
      <c r="C42" s="924" t="s">
        <v>2706</v>
      </c>
      <c r="D42" s="925">
        <v>5</v>
      </c>
      <c r="E42" s="925">
        <v>27</v>
      </c>
      <c r="F42" s="925">
        <v>18</v>
      </c>
      <c r="G42" s="925">
        <v>13</v>
      </c>
      <c r="H42" s="925">
        <v>26</v>
      </c>
      <c r="I42" s="925">
        <v>26</v>
      </c>
      <c r="J42" s="925">
        <v>24</v>
      </c>
      <c r="K42" s="925">
        <v>25</v>
      </c>
      <c r="L42" s="925">
        <v>27</v>
      </c>
      <c r="M42" s="926">
        <v>27</v>
      </c>
      <c r="N42" s="926">
        <v>14</v>
      </c>
      <c r="O42" s="927">
        <v>8</v>
      </c>
      <c r="P42" s="928">
        <f t="shared" si="9"/>
        <v>191</v>
      </c>
      <c r="Q42" s="922">
        <f t="shared" si="10"/>
        <v>10</v>
      </c>
      <c r="R42" s="929">
        <f t="shared" si="11"/>
        <v>49</v>
      </c>
      <c r="S42" s="929">
        <f t="shared" si="12"/>
        <v>2</v>
      </c>
      <c r="T42" s="930">
        <f t="shared" si="13"/>
        <v>12</v>
      </c>
      <c r="U42" s="930">
        <f t="shared" si="14"/>
        <v>11700</v>
      </c>
      <c r="V42" s="931">
        <f t="shared" si="15"/>
        <v>4500</v>
      </c>
      <c r="W42" s="932">
        <f t="shared" si="16"/>
        <v>900</v>
      </c>
      <c r="X42" s="933">
        <f t="shared" si="17"/>
        <v>5400</v>
      </c>
      <c r="AA42">
        <v>19500</v>
      </c>
      <c r="AC42" s="934"/>
      <c r="AD42" s="934"/>
      <c r="AE42" s="935"/>
    </row>
    <row r="43" spans="1:31" ht="24.9" customHeight="1">
      <c r="A43" s="939">
        <v>31</v>
      </c>
      <c r="B43" s="923" t="s">
        <v>2678</v>
      </c>
      <c r="C43" s="924" t="s">
        <v>2707</v>
      </c>
      <c r="D43" s="922">
        <v>26</v>
      </c>
      <c r="E43" s="922">
        <v>24</v>
      </c>
      <c r="F43" s="922">
        <v>26</v>
      </c>
      <c r="G43" s="922">
        <v>21</v>
      </c>
      <c r="H43" s="922">
        <v>24</v>
      </c>
      <c r="I43" s="922">
        <v>26</v>
      </c>
      <c r="J43" s="922">
        <v>20</v>
      </c>
      <c r="K43" s="922">
        <v>24</v>
      </c>
      <c r="L43" s="922">
        <v>27</v>
      </c>
      <c r="M43" s="926">
        <v>24</v>
      </c>
      <c r="N43" s="926">
        <v>26</v>
      </c>
      <c r="O43" s="927">
        <v>19</v>
      </c>
      <c r="P43" s="928">
        <f t="shared" si="9"/>
        <v>218</v>
      </c>
      <c r="Q43" s="922">
        <f t="shared" si="10"/>
        <v>11</v>
      </c>
      <c r="R43" s="929">
        <f t="shared" si="11"/>
        <v>69</v>
      </c>
      <c r="S43" s="929">
        <f t="shared" si="12"/>
        <v>3</v>
      </c>
      <c r="T43" s="930">
        <f t="shared" si="13"/>
        <v>14</v>
      </c>
      <c r="U43" s="930">
        <f t="shared" si="14"/>
        <v>10680</v>
      </c>
      <c r="V43" s="931">
        <f t="shared" si="15"/>
        <v>4518</v>
      </c>
      <c r="W43" s="932">
        <f t="shared" si="16"/>
        <v>1232</v>
      </c>
      <c r="X43" s="933">
        <f t="shared" si="17"/>
        <v>5750</v>
      </c>
      <c r="AA43">
        <v>17800</v>
      </c>
      <c r="AC43" s="934"/>
      <c r="AD43" s="934"/>
      <c r="AE43" s="935"/>
    </row>
    <row r="44" spans="1:31" ht="24.9" customHeight="1">
      <c r="A44" s="939">
        <v>32</v>
      </c>
      <c r="B44" s="923" t="s">
        <v>2678</v>
      </c>
      <c r="C44" s="924" t="s">
        <v>2708</v>
      </c>
      <c r="D44" s="925">
        <v>24</v>
      </c>
      <c r="E44" s="925">
        <v>25</v>
      </c>
      <c r="F44" s="925">
        <v>26</v>
      </c>
      <c r="G44" s="925">
        <v>27</v>
      </c>
      <c r="H44" s="925">
        <v>23</v>
      </c>
      <c r="I44" s="925">
        <v>23</v>
      </c>
      <c r="J44" s="925">
        <v>20</v>
      </c>
      <c r="K44" s="925">
        <v>25</v>
      </c>
      <c r="L44" s="925">
        <v>26</v>
      </c>
      <c r="M44" s="926">
        <v>26</v>
      </c>
      <c r="N44" s="926">
        <v>26</v>
      </c>
      <c r="O44" s="927">
        <v>26</v>
      </c>
      <c r="P44" s="928">
        <f t="shared" si="9"/>
        <v>219</v>
      </c>
      <c r="Q44" s="922">
        <f t="shared" si="10"/>
        <v>11</v>
      </c>
      <c r="R44" s="929">
        <f t="shared" si="11"/>
        <v>78</v>
      </c>
      <c r="S44" s="929">
        <f t="shared" si="12"/>
        <v>4</v>
      </c>
      <c r="T44" s="930">
        <f t="shared" si="13"/>
        <v>15</v>
      </c>
      <c r="U44" s="930">
        <f t="shared" si="14"/>
        <v>10260</v>
      </c>
      <c r="V44" s="931">
        <f t="shared" si="15"/>
        <v>4341</v>
      </c>
      <c r="W44" s="932">
        <f t="shared" si="16"/>
        <v>1578</v>
      </c>
      <c r="X44" s="933">
        <f t="shared" si="17"/>
        <v>5919</v>
      </c>
      <c r="AA44">
        <v>17100</v>
      </c>
      <c r="AC44" s="934"/>
      <c r="AD44" s="934"/>
      <c r="AE44" s="935"/>
    </row>
    <row r="45" spans="1:31" ht="24.9" customHeight="1">
      <c r="A45" s="939">
        <v>33</v>
      </c>
      <c r="B45" s="923" t="s">
        <v>2678</v>
      </c>
      <c r="C45" s="924" t="s">
        <v>2709</v>
      </c>
      <c r="D45" s="922">
        <v>24</v>
      </c>
      <c r="E45" s="922">
        <v>5</v>
      </c>
      <c r="F45" s="922">
        <v>0</v>
      </c>
      <c r="G45" s="922">
        <v>0</v>
      </c>
      <c r="H45" s="922">
        <v>9</v>
      </c>
      <c r="I45" s="922">
        <v>24</v>
      </c>
      <c r="J45" s="922">
        <v>26</v>
      </c>
      <c r="K45" s="922">
        <v>26</v>
      </c>
      <c r="L45" s="922">
        <v>12</v>
      </c>
      <c r="M45" s="926">
        <v>0</v>
      </c>
      <c r="N45" s="926">
        <v>0</v>
      </c>
      <c r="O45" s="927">
        <v>0</v>
      </c>
      <c r="P45" s="928">
        <f t="shared" si="9"/>
        <v>126</v>
      </c>
      <c r="Q45" s="922">
        <f t="shared" si="10"/>
        <v>6</v>
      </c>
      <c r="R45" s="929">
        <f t="shared" si="11"/>
        <v>0</v>
      </c>
      <c r="S45" s="929">
        <f t="shared" si="12"/>
        <v>0</v>
      </c>
      <c r="T45" s="930">
        <f t="shared" si="13"/>
        <v>6</v>
      </c>
      <c r="U45" s="930">
        <f t="shared" si="14"/>
        <v>10800</v>
      </c>
      <c r="V45" s="931">
        <f t="shared" si="15"/>
        <v>2492</v>
      </c>
      <c r="W45" s="932">
        <f t="shared" si="16"/>
        <v>0</v>
      </c>
      <c r="X45" s="933">
        <f t="shared" si="17"/>
        <v>2492</v>
      </c>
      <c r="AA45">
        <v>18000</v>
      </c>
      <c r="AC45" s="934"/>
      <c r="AD45" s="934"/>
      <c r="AE45" s="935"/>
    </row>
    <row r="46" spans="1:31" ht="24.9" customHeight="1">
      <c r="A46" s="939">
        <v>34</v>
      </c>
      <c r="B46" s="923" t="s">
        <v>2678</v>
      </c>
      <c r="C46" s="924" t="s">
        <v>2710</v>
      </c>
      <c r="D46" s="925">
        <v>23</v>
      </c>
      <c r="E46" s="925">
        <v>23</v>
      </c>
      <c r="F46" s="925">
        <v>24</v>
      </c>
      <c r="G46" s="925">
        <v>22</v>
      </c>
      <c r="H46" s="925">
        <v>10</v>
      </c>
      <c r="I46" s="925">
        <v>24</v>
      </c>
      <c r="J46" s="925">
        <v>23</v>
      </c>
      <c r="K46" s="925">
        <v>20</v>
      </c>
      <c r="L46" s="925">
        <v>24</v>
      </c>
      <c r="M46" s="926">
        <v>26</v>
      </c>
      <c r="N46" s="926">
        <v>20</v>
      </c>
      <c r="O46" s="927">
        <v>26</v>
      </c>
      <c r="P46" s="928">
        <f t="shared" si="9"/>
        <v>193</v>
      </c>
      <c r="Q46" s="922">
        <f t="shared" si="10"/>
        <v>10</v>
      </c>
      <c r="R46" s="929">
        <f t="shared" si="11"/>
        <v>72</v>
      </c>
      <c r="S46" s="929">
        <f t="shared" si="12"/>
        <v>4</v>
      </c>
      <c r="T46" s="930">
        <f t="shared" si="13"/>
        <v>14</v>
      </c>
      <c r="U46" s="930">
        <f t="shared" si="14"/>
        <v>9000</v>
      </c>
      <c r="V46" s="931">
        <f t="shared" si="15"/>
        <v>3462</v>
      </c>
      <c r="W46" s="932">
        <f t="shared" si="16"/>
        <v>1385</v>
      </c>
      <c r="X46" s="933">
        <f t="shared" si="17"/>
        <v>4847</v>
      </c>
      <c r="AA46">
        <v>15000</v>
      </c>
      <c r="AC46" s="934"/>
      <c r="AD46" s="934"/>
      <c r="AE46" s="935"/>
    </row>
    <row r="47" spans="1:31" ht="24.9" customHeight="1">
      <c r="A47" s="939">
        <v>35</v>
      </c>
      <c r="B47" s="923" t="s">
        <v>2678</v>
      </c>
      <c r="C47" s="924" t="s">
        <v>2711</v>
      </c>
      <c r="D47" s="922">
        <v>23</v>
      </c>
      <c r="E47" s="922">
        <v>26</v>
      </c>
      <c r="F47" s="922">
        <v>26</v>
      </c>
      <c r="G47" s="922">
        <v>27</v>
      </c>
      <c r="H47" s="922">
        <v>23</v>
      </c>
      <c r="I47" s="922">
        <v>26</v>
      </c>
      <c r="J47" s="922">
        <v>25</v>
      </c>
      <c r="K47" s="922">
        <v>22</v>
      </c>
      <c r="L47" s="922">
        <v>24</v>
      </c>
      <c r="M47" s="926">
        <v>24</v>
      </c>
      <c r="N47" s="926">
        <v>26</v>
      </c>
      <c r="O47" s="927">
        <v>23</v>
      </c>
      <c r="P47" s="928">
        <f t="shared" si="9"/>
        <v>222</v>
      </c>
      <c r="Q47" s="922">
        <f t="shared" si="10"/>
        <v>11</v>
      </c>
      <c r="R47" s="929">
        <f t="shared" si="11"/>
        <v>73</v>
      </c>
      <c r="S47" s="929">
        <f t="shared" si="12"/>
        <v>4</v>
      </c>
      <c r="T47" s="930">
        <f t="shared" si="13"/>
        <v>15</v>
      </c>
      <c r="U47" s="930">
        <f t="shared" si="14"/>
        <v>9000</v>
      </c>
      <c r="V47" s="931">
        <f t="shared" si="15"/>
        <v>3808</v>
      </c>
      <c r="W47" s="932">
        <f t="shared" si="16"/>
        <v>1385</v>
      </c>
      <c r="X47" s="933">
        <f t="shared" si="17"/>
        <v>5193</v>
      </c>
      <c r="AA47">
        <v>15000</v>
      </c>
      <c r="AC47" s="934"/>
      <c r="AD47" s="934"/>
      <c r="AE47" s="935"/>
    </row>
    <row r="48" spans="1:31" ht="24.9" customHeight="1">
      <c r="A48" s="939">
        <v>36</v>
      </c>
      <c r="B48" s="923" t="s">
        <v>2678</v>
      </c>
      <c r="C48" s="924" t="s">
        <v>2712</v>
      </c>
      <c r="D48" s="925">
        <v>21</v>
      </c>
      <c r="E48" s="925">
        <v>24</v>
      </c>
      <c r="F48" s="925">
        <v>18</v>
      </c>
      <c r="G48" s="925">
        <v>12</v>
      </c>
      <c r="H48" s="925">
        <v>25</v>
      </c>
      <c r="I48" s="925">
        <v>22</v>
      </c>
      <c r="J48" s="925">
        <v>23</v>
      </c>
      <c r="K48" s="925">
        <v>24</v>
      </c>
      <c r="L48" s="925">
        <v>25</v>
      </c>
      <c r="M48" s="926">
        <v>26</v>
      </c>
      <c r="N48" s="926">
        <v>26</v>
      </c>
      <c r="O48" s="927">
        <v>26</v>
      </c>
      <c r="P48" s="928">
        <f t="shared" si="9"/>
        <v>194</v>
      </c>
      <c r="Q48" s="922">
        <f t="shared" si="10"/>
        <v>10</v>
      </c>
      <c r="R48" s="929">
        <f t="shared" si="11"/>
        <v>78</v>
      </c>
      <c r="S48" s="929">
        <f t="shared" si="12"/>
        <v>4</v>
      </c>
      <c r="T48" s="930">
        <f t="shared" si="13"/>
        <v>14</v>
      </c>
      <c r="U48" s="930">
        <f t="shared" si="14"/>
        <v>8880</v>
      </c>
      <c r="V48" s="931">
        <f t="shared" si="15"/>
        <v>3415</v>
      </c>
      <c r="W48" s="932">
        <f t="shared" si="16"/>
        <v>1366</v>
      </c>
      <c r="X48" s="933">
        <f t="shared" si="17"/>
        <v>4781</v>
      </c>
      <c r="AA48">
        <v>14800</v>
      </c>
      <c r="AC48" s="934"/>
      <c r="AD48" s="934"/>
      <c r="AE48" s="935"/>
    </row>
    <row r="49" spans="1:31" ht="24.9" customHeight="1">
      <c r="A49" s="939">
        <v>37</v>
      </c>
      <c r="B49" s="923" t="s">
        <v>2678</v>
      </c>
      <c r="C49" s="936" t="s">
        <v>2713</v>
      </c>
      <c r="D49" s="922">
        <v>24</v>
      </c>
      <c r="E49" s="922">
        <v>24</v>
      </c>
      <c r="F49" s="922">
        <v>23</v>
      </c>
      <c r="G49" s="922">
        <v>23</v>
      </c>
      <c r="H49" s="922">
        <v>25</v>
      </c>
      <c r="I49" s="922">
        <v>25</v>
      </c>
      <c r="J49" s="922">
        <v>18</v>
      </c>
      <c r="K49" s="922">
        <v>16</v>
      </c>
      <c r="L49" s="922">
        <v>26</v>
      </c>
      <c r="M49" s="926">
        <v>27</v>
      </c>
      <c r="N49" s="926">
        <v>17</v>
      </c>
      <c r="O49" s="927">
        <v>18</v>
      </c>
      <c r="P49" s="928">
        <f t="shared" si="9"/>
        <v>204</v>
      </c>
      <c r="Q49" s="922">
        <f t="shared" si="10"/>
        <v>10</v>
      </c>
      <c r="R49" s="929">
        <f t="shared" si="11"/>
        <v>62</v>
      </c>
      <c r="S49" s="929">
        <f t="shared" si="12"/>
        <v>3</v>
      </c>
      <c r="T49" s="930">
        <f t="shared" si="13"/>
        <v>13</v>
      </c>
      <c r="U49" s="930">
        <f t="shared" si="14"/>
        <v>7320</v>
      </c>
      <c r="V49" s="931">
        <f t="shared" si="15"/>
        <v>2815</v>
      </c>
      <c r="W49" s="932">
        <f t="shared" si="16"/>
        <v>845</v>
      </c>
      <c r="X49" s="933">
        <f t="shared" si="17"/>
        <v>3660</v>
      </c>
      <c r="AA49">
        <v>12200</v>
      </c>
      <c r="AC49" s="934"/>
      <c r="AD49" s="934"/>
      <c r="AE49" s="935"/>
    </row>
    <row r="50" spans="1:31" ht="24.9" customHeight="1">
      <c r="A50" s="939">
        <v>38</v>
      </c>
      <c r="B50" s="923" t="s">
        <v>2678</v>
      </c>
      <c r="C50" s="924" t="s">
        <v>2714</v>
      </c>
      <c r="D50" s="925">
        <v>26</v>
      </c>
      <c r="E50" s="925">
        <v>14</v>
      </c>
      <c r="F50" s="925">
        <v>26</v>
      </c>
      <c r="G50" s="925">
        <v>27</v>
      </c>
      <c r="H50" s="925">
        <v>26</v>
      </c>
      <c r="I50" s="925">
        <v>25</v>
      </c>
      <c r="J50" s="925">
        <v>27</v>
      </c>
      <c r="K50" s="925">
        <v>25</v>
      </c>
      <c r="L50" s="925">
        <v>26</v>
      </c>
      <c r="M50" s="926">
        <v>26</v>
      </c>
      <c r="N50" s="926">
        <v>26</v>
      </c>
      <c r="O50" s="927">
        <v>25</v>
      </c>
      <c r="P50" s="928">
        <f t="shared" si="9"/>
        <v>222</v>
      </c>
      <c r="Q50" s="922">
        <f t="shared" si="10"/>
        <v>11</v>
      </c>
      <c r="R50" s="929">
        <f t="shared" si="11"/>
        <v>77</v>
      </c>
      <c r="S50" s="929">
        <f t="shared" si="12"/>
        <v>4</v>
      </c>
      <c r="T50" s="930">
        <f t="shared" si="13"/>
        <v>15</v>
      </c>
      <c r="U50" s="930">
        <f t="shared" si="14"/>
        <v>11700</v>
      </c>
      <c r="V50" s="931">
        <f t="shared" si="15"/>
        <v>4950</v>
      </c>
      <c r="W50" s="932">
        <f t="shared" si="16"/>
        <v>1800</v>
      </c>
      <c r="X50" s="933">
        <f t="shared" si="17"/>
        <v>6750</v>
      </c>
      <c r="AA50">
        <v>19500</v>
      </c>
      <c r="AC50" s="934"/>
      <c r="AD50" s="934"/>
      <c r="AE50" s="935"/>
    </row>
    <row r="51" spans="1:31" ht="24.9" customHeight="1">
      <c r="A51" s="939">
        <v>39</v>
      </c>
      <c r="B51" s="923" t="s">
        <v>2678</v>
      </c>
      <c r="C51" s="924" t="s">
        <v>2715</v>
      </c>
      <c r="D51" s="922">
        <v>26</v>
      </c>
      <c r="E51" s="922">
        <v>23</v>
      </c>
      <c r="F51" s="922">
        <v>18</v>
      </c>
      <c r="G51" s="922">
        <v>13</v>
      </c>
      <c r="H51" s="922">
        <v>26</v>
      </c>
      <c r="I51" s="922">
        <v>26</v>
      </c>
      <c r="J51" s="922">
        <v>18</v>
      </c>
      <c r="K51" s="922">
        <v>7</v>
      </c>
      <c r="L51" s="922">
        <v>27</v>
      </c>
      <c r="M51" s="926">
        <v>27</v>
      </c>
      <c r="N51" s="926">
        <v>26</v>
      </c>
      <c r="O51" s="927">
        <v>26</v>
      </c>
      <c r="P51" s="928">
        <f t="shared" si="9"/>
        <v>184</v>
      </c>
      <c r="Q51" s="922">
        <f t="shared" si="10"/>
        <v>9</v>
      </c>
      <c r="R51" s="929">
        <f t="shared" si="11"/>
        <v>79</v>
      </c>
      <c r="S51" s="929">
        <f t="shared" si="12"/>
        <v>4</v>
      </c>
      <c r="T51" s="930">
        <f t="shared" si="13"/>
        <v>13</v>
      </c>
      <c r="U51" s="930">
        <f t="shared" si="14"/>
        <v>9420</v>
      </c>
      <c r="V51" s="931">
        <f t="shared" si="15"/>
        <v>3261</v>
      </c>
      <c r="W51" s="932">
        <f t="shared" si="16"/>
        <v>1449</v>
      </c>
      <c r="X51" s="933">
        <f t="shared" si="17"/>
        <v>4710</v>
      </c>
      <c r="AA51">
        <v>15700</v>
      </c>
      <c r="AC51" s="934"/>
      <c r="AD51" s="934"/>
      <c r="AE51" s="935"/>
    </row>
    <row r="52" spans="1:31" ht="24.9" customHeight="1">
      <c r="A52" s="939">
        <v>40</v>
      </c>
      <c r="B52" s="923" t="s">
        <v>2678</v>
      </c>
      <c r="C52" s="924" t="s">
        <v>2716</v>
      </c>
      <c r="D52" s="925">
        <v>17</v>
      </c>
      <c r="E52" s="925">
        <v>21</v>
      </c>
      <c r="F52" s="925">
        <v>20</v>
      </c>
      <c r="G52" s="925">
        <v>20</v>
      </c>
      <c r="H52" s="925">
        <v>11</v>
      </c>
      <c r="I52" s="925">
        <v>18</v>
      </c>
      <c r="J52" s="925">
        <v>21</v>
      </c>
      <c r="K52" s="925">
        <v>18</v>
      </c>
      <c r="L52" s="925">
        <v>16</v>
      </c>
      <c r="M52" s="926">
        <v>14</v>
      </c>
      <c r="N52" s="926">
        <v>20</v>
      </c>
      <c r="O52" s="927">
        <v>16</v>
      </c>
      <c r="P52" s="928">
        <f t="shared" si="9"/>
        <v>162</v>
      </c>
      <c r="Q52" s="922">
        <f t="shared" si="10"/>
        <v>8</v>
      </c>
      <c r="R52" s="929">
        <f t="shared" si="11"/>
        <v>50</v>
      </c>
      <c r="S52" s="929">
        <f t="shared" si="12"/>
        <v>3</v>
      </c>
      <c r="T52" s="930">
        <f t="shared" si="13"/>
        <v>11</v>
      </c>
      <c r="U52" s="930">
        <f t="shared" si="14"/>
        <v>8820</v>
      </c>
      <c r="V52" s="931">
        <f t="shared" si="15"/>
        <v>2714</v>
      </c>
      <c r="W52" s="932">
        <f t="shared" si="16"/>
        <v>1018</v>
      </c>
      <c r="X52" s="933">
        <f t="shared" si="17"/>
        <v>3732</v>
      </c>
      <c r="AA52">
        <v>14700</v>
      </c>
      <c r="AC52" s="934"/>
      <c r="AD52" s="934"/>
      <c r="AE52" s="935"/>
    </row>
    <row r="53" spans="1:31" ht="24.9" customHeight="1">
      <c r="A53" s="939">
        <v>41</v>
      </c>
      <c r="B53" s="938" t="s">
        <v>2678</v>
      </c>
      <c r="C53" s="924" t="s">
        <v>2717</v>
      </c>
      <c r="D53" s="922">
        <v>24</v>
      </c>
      <c r="E53" s="922">
        <v>26</v>
      </c>
      <c r="F53" s="922">
        <v>20</v>
      </c>
      <c r="G53" s="922">
        <v>25</v>
      </c>
      <c r="H53" s="922">
        <v>12</v>
      </c>
      <c r="I53" s="922">
        <v>25</v>
      </c>
      <c r="J53" s="922">
        <v>27</v>
      </c>
      <c r="K53" s="922">
        <v>25</v>
      </c>
      <c r="L53" s="922">
        <v>25</v>
      </c>
      <c r="M53" s="926">
        <v>26</v>
      </c>
      <c r="N53" s="926">
        <v>26</v>
      </c>
      <c r="O53" s="927">
        <v>26</v>
      </c>
      <c r="P53" s="928">
        <f t="shared" si="9"/>
        <v>209</v>
      </c>
      <c r="Q53" s="922">
        <f t="shared" si="10"/>
        <v>10</v>
      </c>
      <c r="R53" s="929">
        <f t="shared" si="11"/>
        <v>78</v>
      </c>
      <c r="S53" s="929">
        <f t="shared" si="12"/>
        <v>4</v>
      </c>
      <c r="T53" s="930">
        <f t="shared" si="13"/>
        <v>14</v>
      </c>
      <c r="U53" s="930">
        <f t="shared" si="14"/>
        <v>9060</v>
      </c>
      <c r="V53" s="931">
        <f t="shared" si="15"/>
        <v>3485</v>
      </c>
      <c r="W53" s="932">
        <f t="shared" si="16"/>
        <v>1394</v>
      </c>
      <c r="X53" s="933">
        <f t="shared" si="17"/>
        <v>4879</v>
      </c>
      <c r="AA53">
        <v>15100</v>
      </c>
      <c r="AC53" s="934"/>
      <c r="AD53" s="934"/>
      <c r="AE53" s="935"/>
    </row>
    <row r="54" spans="1:31" ht="24.9" customHeight="1">
      <c r="A54" s="939">
        <v>42</v>
      </c>
      <c r="B54" s="938" t="s">
        <v>2678</v>
      </c>
      <c r="C54" s="936" t="s">
        <v>2718</v>
      </c>
      <c r="D54" s="925">
        <v>14</v>
      </c>
      <c r="E54" s="925">
        <v>24</v>
      </c>
      <c r="F54" s="925">
        <v>21</v>
      </c>
      <c r="G54" s="925">
        <v>22</v>
      </c>
      <c r="H54" s="925">
        <v>21</v>
      </c>
      <c r="I54" s="925">
        <v>20</v>
      </c>
      <c r="J54" s="925">
        <v>19</v>
      </c>
      <c r="K54" s="925">
        <v>0</v>
      </c>
      <c r="L54" s="925">
        <v>21</v>
      </c>
      <c r="M54" s="926">
        <v>23</v>
      </c>
      <c r="N54" s="926">
        <v>22</v>
      </c>
      <c r="O54" s="927">
        <v>23</v>
      </c>
      <c r="P54" s="928">
        <f t="shared" si="9"/>
        <v>162</v>
      </c>
      <c r="Q54" s="922">
        <f t="shared" si="10"/>
        <v>8</v>
      </c>
      <c r="R54" s="929">
        <f t="shared" si="11"/>
        <v>68</v>
      </c>
      <c r="S54" s="929">
        <f t="shared" si="12"/>
        <v>3</v>
      </c>
      <c r="T54" s="930">
        <f t="shared" si="13"/>
        <v>11</v>
      </c>
      <c r="U54" s="930">
        <f t="shared" si="14"/>
        <v>6900</v>
      </c>
      <c r="V54" s="931">
        <f t="shared" si="15"/>
        <v>2123</v>
      </c>
      <c r="W54" s="932">
        <f t="shared" si="16"/>
        <v>796</v>
      </c>
      <c r="X54" s="933">
        <f t="shared" si="17"/>
        <v>2919</v>
      </c>
      <c r="AA54">
        <v>11500</v>
      </c>
      <c r="AC54" s="934"/>
      <c r="AD54" s="934"/>
      <c r="AE54" s="935"/>
    </row>
    <row r="55" spans="1:31" ht="24.9" customHeight="1">
      <c r="A55" s="939">
        <v>43</v>
      </c>
      <c r="B55" s="938" t="s">
        <v>2678</v>
      </c>
      <c r="C55" s="936" t="s">
        <v>2719</v>
      </c>
      <c r="D55" s="922">
        <v>0</v>
      </c>
      <c r="E55" s="922">
        <v>27</v>
      </c>
      <c r="F55" s="922">
        <v>25</v>
      </c>
      <c r="G55" s="922">
        <v>26</v>
      </c>
      <c r="H55" s="922">
        <v>27</v>
      </c>
      <c r="I55" s="922">
        <v>27</v>
      </c>
      <c r="J55" s="922">
        <v>27</v>
      </c>
      <c r="K55" s="922">
        <v>26</v>
      </c>
      <c r="L55" s="922">
        <v>26</v>
      </c>
      <c r="M55" s="926">
        <v>24</v>
      </c>
      <c r="N55" s="926">
        <v>26</v>
      </c>
      <c r="O55" s="927">
        <v>27</v>
      </c>
      <c r="P55" s="928">
        <f t="shared" si="9"/>
        <v>211</v>
      </c>
      <c r="Q55" s="922">
        <f t="shared" si="10"/>
        <v>11</v>
      </c>
      <c r="R55" s="929">
        <f t="shared" si="11"/>
        <v>77</v>
      </c>
      <c r="S55" s="929">
        <f t="shared" si="12"/>
        <v>4</v>
      </c>
      <c r="T55" s="930">
        <f t="shared" si="13"/>
        <v>15</v>
      </c>
      <c r="U55" s="930">
        <f t="shared" si="14"/>
        <v>8880</v>
      </c>
      <c r="V55" s="931">
        <f t="shared" si="15"/>
        <v>3757</v>
      </c>
      <c r="W55" s="932">
        <f t="shared" si="16"/>
        <v>1366</v>
      </c>
      <c r="X55" s="933">
        <f t="shared" si="17"/>
        <v>5123</v>
      </c>
      <c r="AA55">
        <v>14800</v>
      </c>
      <c r="AC55" s="934"/>
      <c r="AD55" s="934"/>
      <c r="AE55" s="935"/>
    </row>
    <row r="56" spans="1:31" ht="20.100000000000001" customHeight="1" thickBot="1">
      <c r="A56" s="941"/>
      <c r="B56" s="2444" t="s">
        <v>2720</v>
      </c>
      <c r="C56" s="2445"/>
      <c r="D56" s="2445"/>
      <c r="E56" s="2445"/>
      <c r="F56" s="2445"/>
      <c r="G56" s="2445"/>
      <c r="H56" s="2445"/>
      <c r="I56" s="2445"/>
      <c r="J56" s="2445"/>
      <c r="K56" s="2445"/>
      <c r="L56" s="2445"/>
      <c r="M56" s="2445"/>
      <c r="N56" s="2445"/>
      <c r="O56" s="2445"/>
      <c r="P56" s="2445"/>
      <c r="Q56" s="2445"/>
      <c r="R56" s="2445"/>
      <c r="S56" s="2445"/>
      <c r="T56" s="2445"/>
      <c r="U56" s="2446"/>
      <c r="V56" s="942">
        <f>SUM(V9:V55)</f>
        <v>173664</v>
      </c>
      <c r="W56" s="942">
        <f>SUM(W9:W55)</f>
        <v>59611</v>
      </c>
      <c r="X56" s="942">
        <f>SUM(X9:X55)</f>
        <v>233275</v>
      </c>
    </row>
    <row r="57" spans="1:31" ht="15" thickTop="1"/>
  </sheetData>
  <mergeCells count="21">
    <mergeCell ref="P6:Q6"/>
    <mergeCell ref="R6:S6"/>
    <mergeCell ref="A2:X2"/>
    <mergeCell ref="A3:X3"/>
    <mergeCell ref="D5:O5"/>
    <mergeCell ref="P5:Q5"/>
    <mergeCell ref="R5:S5"/>
    <mergeCell ref="P7:Q7"/>
    <mergeCell ref="R7:S7"/>
    <mergeCell ref="P8:Q8"/>
    <mergeCell ref="R8:S8"/>
    <mergeCell ref="D34:O34"/>
    <mergeCell ref="P34:Q34"/>
    <mergeCell ref="R34:S34"/>
    <mergeCell ref="B56:U56"/>
    <mergeCell ref="P35:Q35"/>
    <mergeCell ref="R35:S35"/>
    <mergeCell ref="P36:Q36"/>
    <mergeCell ref="R36:S36"/>
    <mergeCell ref="P37:Q37"/>
    <mergeCell ref="R37:S37"/>
  </mergeCells>
  <pageMargins left="0.19685039370078741" right="0.19685039370078741" top="0.19685039370078741" bottom="0.19685039370078741" header="0.31496062992125984" footer="0.31496062992125984"/>
  <pageSetup scale="75" orientation="landscape" r:id="rId1"/>
  <rowBreaks count="1" manualBreakCount="1">
    <brk id="33" max="23" man="1"/>
  </rowBreaks>
  <colBreaks count="1" manualBreakCount="1">
    <brk id="2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Q1001"/>
  <sheetViews>
    <sheetView view="pageBreakPreview" topLeftCell="A787" zoomScale="90" zoomScaleNormal="100" zoomScaleSheetLayoutView="90" workbookViewId="0">
      <selection activeCell="B792" sqref="B792"/>
    </sheetView>
  </sheetViews>
  <sheetFormatPr defaultColWidth="36.109375" defaultRowHeight="14.4"/>
  <cols>
    <col min="2" max="2" width="39.6640625" customWidth="1"/>
    <col min="3" max="3" width="15.44140625" customWidth="1"/>
    <col min="4" max="5" width="19" customWidth="1"/>
    <col min="6" max="6" width="26.33203125" customWidth="1"/>
    <col min="7" max="8" width="28.88671875" customWidth="1"/>
    <col min="9" max="9" width="20.6640625" style="766" customWidth="1"/>
    <col min="10" max="10" width="34.109375" customWidth="1"/>
    <col min="11" max="11" width="16.44140625" style="3" customWidth="1"/>
    <col min="12" max="12" width="15.44140625" style="3" bestFit="1" customWidth="1"/>
    <col min="13" max="13" width="14.109375" style="3" bestFit="1" customWidth="1"/>
    <col min="14" max="14" width="26.33203125" style="3" bestFit="1" customWidth="1"/>
    <col min="15" max="15" width="22.44140625" customWidth="1"/>
    <col min="16" max="16" width="14.6640625" bestFit="1" customWidth="1"/>
    <col min="17" max="17" width="18.6640625" bestFit="1" customWidth="1"/>
  </cols>
  <sheetData>
    <row r="1" spans="2:11" ht="15" thickBot="1">
      <c r="G1" s="3">
        <f>+G45-G25</f>
        <v>0</v>
      </c>
      <c r="H1" s="136">
        <f>+H45-H25</f>
        <v>-6.3268184661865234E-2</v>
      </c>
    </row>
    <row r="2" spans="2:11" ht="18">
      <c r="B2" s="2184" t="s">
        <v>785</v>
      </c>
      <c r="C2" s="2185"/>
      <c r="D2" s="2185"/>
      <c r="E2" s="2185"/>
      <c r="F2" s="2185"/>
      <c r="G2" s="2185"/>
      <c r="H2" s="2186"/>
      <c r="I2" s="766">
        <f>+G1/7</f>
        <v>0</v>
      </c>
    </row>
    <row r="3" spans="2:11" ht="18">
      <c r="B3" s="2187" t="s">
        <v>786</v>
      </c>
      <c r="C3" s="2188"/>
      <c r="D3" s="2188"/>
      <c r="E3" s="2188"/>
      <c r="F3" s="2188"/>
      <c r="G3" s="2188"/>
      <c r="H3" s="2189"/>
    </row>
    <row r="4" spans="2:11" ht="18">
      <c r="B4" s="1235" t="s">
        <v>532</v>
      </c>
      <c r="C4" s="1236"/>
      <c r="D4" s="1236"/>
      <c r="E4" s="1236"/>
      <c r="F4" s="2190" t="s">
        <v>787</v>
      </c>
      <c r="G4" s="1237" t="s">
        <v>788</v>
      </c>
      <c r="H4" s="1238" t="s">
        <v>788</v>
      </c>
    </row>
    <row r="5" spans="2:11" ht="18">
      <c r="B5" s="1239"/>
      <c r="C5" s="15"/>
      <c r="D5" s="15"/>
      <c r="E5" s="15"/>
      <c r="F5" s="2191"/>
      <c r="G5" s="16" t="s">
        <v>789</v>
      </c>
      <c r="H5" s="1240" t="s">
        <v>790</v>
      </c>
    </row>
    <row r="6" spans="2:11" ht="18">
      <c r="B6" s="1241" t="s">
        <v>791</v>
      </c>
      <c r="C6" s="1999"/>
      <c r="D6" s="1999"/>
      <c r="E6" s="1999"/>
      <c r="F6" s="436"/>
      <c r="G6" s="17"/>
      <c r="H6" s="1242"/>
    </row>
    <row r="7" spans="2:11" ht="18">
      <c r="B7" s="1241" t="s">
        <v>792</v>
      </c>
      <c r="C7" s="1999"/>
      <c r="D7" s="1999"/>
      <c r="E7" s="1999"/>
      <c r="F7" s="436"/>
      <c r="G7" s="17"/>
      <c r="H7" s="1242"/>
    </row>
    <row r="8" spans="2:11" ht="18">
      <c r="B8" s="1243" t="s">
        <v>82</v>
      </c>
      <c r="C8" s="1999"/>
      <c r="D8" s="1999"/>
      <c r="E8" s="1999"/>
      <c r="F8" s="2192">
        <v>2</v>
      </c>
      <c r="G8" s="18">
        <f>+SUM(Depreciation!B25:I25)</f>
        <v>193428260.33041993</v>
      </c>
      <c r="H8" s="1244">
        <f>+GETPIVOTDATA("Sum of Dr. Final 21-22",Pivot!$A$3,"Note",2,"BS Main Head","Property, Plant and Equipment","BS Sub Head","Tangible Asset")-GETPIVOTDATA("Sum of Cr. Final 21-22",Pivot!$A$3,"Note",2,"BS Main Head","Property, Plant and Equipment","BS Sub Head","Tangible Asset - PFD")</f>
        <v>207947525.38</v>
      </c>
      <c r="J8">
        <v>339748500.99000001</v>
      </c>
      <c r="K8" s="3">
        <f>+G8+G9-J8</f>
        <v>126991.9504199028</v>
      </c>
    </row>
    <row r="9" spans="2:11" ht="18">
      <c r="B9" s="1243" t="s">
        <v>793</v>
      </c>
      <c r="C9" s="1999"/>
      <c r="D9" s="1999"/>
      <c r="E9" s="1999"/>
      <c r="F9" s="2192"/>
      <c r="G9" s="18">
        <f>+Depreciation!J25</f>
        <v>146447232.61000001</v>
      </c>
      <c r="H9" s="1244">
        <f>+GETPIVOTDATA("Sum of Dr. Final 21-22",Pivot!$A$3,"Note",2,"BS Main Head","Property, Plant and Equipment","BS Sub Head","Capital WIP")</f>
        <v>40380750.219999999</v>
      </c>
      <c r="J9" s="136">
        <f>+J8-G8-G9</f>
        <v>-126991.9504199326</v>
      </c>
    </row>
    <row r="10" spans="2:11" ht="18">
      <c r="B10" s="1245" t="s">
        <v>15</v>
      </c>
      <c r="C10" s="1999"/>
      <c r="D10" s="1999"/>
      <c r="E10" s="1999"/>
      <c r="F10" s="19"/>
      <c r="G10" s="20"/>
      <c r="H10" s="1246"/>
      <c r="I10" s="767"/>
    </row>
    <row r="11" spans="2:11" ht="18">
      <c r="B11" s="1247" t="s">
        <v>794</v>
      </c>
      <c r="C11" s="1999"/>
      <c r="D11" s="1999"/>
      <c r="E11" s="1999"/>
      <c r="F11" s="19">
        <v>3</v>
      </c>
      <c r="G11" s="21">
        <f>+G227</f>
        <v>3469626</v>
      </c>
      <c r="H11" s="1248">
        <f>+H227</f>
        <v>2383478.61</v>
      </c>
    </row>
    <row r="12" spans="2:11" ht="18">
      <c r="B12" s="1249" t="s">
        <v>795</v>
      </c>
      <c r="C12" s="1999"/>
      <c r="D12" s="1999"/>
      <c r="E12" s="1999"/>
      <c r="F12" s="19">
        <v>4</v>
      </c>
      <c r="G12" s="21">
        <f>+G234</f>
        <v>16009672</v>
      </c>
      <c r="H12" s="1248">
        <f>+H234</f>
        <v>23233048</v>
      </c>
      <c r="J12" s="1144">
        <f>+G12-16007912</f>
        <v>1760</v>
      </c>
    </row>
    <row r="13" spans="2:11" ht="18">
      <c r="B13" s="1250" t="s">
        <v>796</v>
      </c>
      <c r="C13" s="1999"/>
      <c r="D13" s="1999"/>
      <c r="E13" s="1999"/>
      <c r="F13" s="19"/>
      <c r="G13" s="1548">
        <f>+SUM(G8:G12)</f>
        <v>359354790.94041991</v>
      </c>
      <c r="H13" s="1791">
        <f>+SUM(H8:H12)</f>
        <v>273944802.21000004</v>
      </c>
    </row>
    <row r="14" spans="2:11" ht="18">
      <c r="B14" s="1250" t="s">
        <v>797</v>
      </c>
      <c r="C14" s="1999"/>
      <c r="D14" s="1999"/>
      <c r="E14" s="1999"/>
      <c r="F14" s="19"/>
      <c r="G14" s="20"/>
      <c r="H14" s="1246"/>
    </row>
    <row r="15" spans="2:11" ht="18">
      <c r="B15" s="1249" t="s">
        <v>798</v>
      </c>
      <c r="C15" s="1999"/>
      <c r="D15" s="1999"/>
      <c r="E15" s="1999"/>
      <c r="F15" s="19">
        <v>5</v>
      </c>
      <c r="G15" s="21">
        <f>+G241</f>
        <v>62662680.8336384</v>
      </c>
      <c r="H15" s="1248">
        <f>+H241</f>
        <v>51593267</v>
      </c>
    </row>
    <row r="16" spans="2:11" ht="18">
      <c r="B16" s="1249" t="s">
        <v>15</v>
      </c>
      <c r="C16" s="1999"/>
      <c r="D16" s="1999"/>
      <c r="E16" s="1999"/>
      <c r="F16" s="19"/>
      <c r="G16" s="23"/>
      <c r="H16" s="1251"/>
    </row>
    <row r="17" spans="2:10" ht="18">
      <c r="B17" s="1252" t="s">
        <v>799</v>
      </c>
      <c r="C17" s="1999"/>
      <c r="D17" s="1999"/>
      <c r="E17" s="1999"/>
      <c r="F17" s="19">
        <v>6</v>
      </c>
      <c r="G17" s="21">
        <f>+G247</f>
        <v>115802242.14</v>
      </c>
      <c r="H17" s="1248">
        <f>+H247</f>
        <v>166554746.43000001</v>
      </c>
    </row>
    <row r="18" spans="2:10" ht="18">
      <c r="B18" s="1252" t="s">
        <v>800</v>
      </c>
      <c r="C18" s="1999"/>
      <c r="D18" s="1999"/>
      <c r="E18" s="1999"/>
      <c r="F18" s="19">
        <v>7</v>
      </c>
      <c r="G18" s="21">
        <f>+G278</f>
        <v>239775.64</v>
      </c>
      <c r="H18" s="1248">
        <f>+H278</f>
        <v>79146.64</v>
      </c>
      <c r="I18" s="767">
        <f>+H18-79147</f>
        <v>-0.36000000000058208</v>
      </c>
    </row>
    <row r="19" spans="2:10" ht="18">
      <c r="B19" s="1252" t="s">
        <v>2390</v>
      </c>
      <c r="C19" s="1999"/>
      <c r="D19" s="1999"/>
      <c r="E19" s="1999"/>
      <c r="F19" s="19">
        <v>8</v>
      </c>
      <c r="G19" s="21">
        <f>+G284</f>
        <v>7427000</v>
      </c>
      <c r="H19" s="1248">
        <f>+H284</f>
        <v>8362500</v>
      </c>
      <c r="I19" s="767"/>
    </row>
    <row r="20" spans="2:10" ht="18">
      <c r="B20" s="1249" t="s">
        <v>801</v>
      </c>
      <c r="C20" s="1999"/>
      <c r="D20" s="1999"/>
      <c r="E20" s="1999"/>
      <c r="F20" s="19">
        <v>9</v>
      </c>
      <c r="G20" s="21">
        <f>+G290</f>
        <v>10037184</v>
      </c>
      <c r="H20" s="1248">
        <f>+H290</f>
        <v>6255737.0199999996</v>
      </c>
      <c r="J20" s="1144">
        <f>+G20-10038944</f>
        <v>-1760</v>
      </c>
    </row>
    <row r="21" spans="2:10" ht="18">
      <c r="B21" s="1249" t="s">
        <v>802</v>
      </c>
      <c r="C21" s="1999"/>
      <c r="D21" s="1999"/>
      <c r="E21" s="1999"/>
      <c r="F21" s="19">
        <v>10</v>
      </c>
      <c r="G21" s="21">
        <f>+G293</f>
        <v>3550400.36</v>
      </c>
      <c r="H21" s="1248">
        <f>+H293</f>
        <v>2322957.8136877958</v>
      </c>
    </row>
    <row r="22" spans="2:10" ht="18">
      <c r="B22" s="1247"/>
      <c r="C22" s="1999"/>
      <c r="D22" s="1999"/>
      <c r="E22" s="24"/>
      <c r="F22" s="2014"/>
      <c r="G22" s="1548">
        <f>+SUM(G15:G21)</f>
        <v>199719282.97363842</v>
      </c>
      <c r="H22" s="1791">
        <f>+SUM(H15:H21)</f>
        <v>235168354.9036878</v>
      </c>
    </row>
    <row r="23" spans="2:10" ht="18">
      <c r="B23" s="1247"/>
      <c r="C23" s="1999"/>
      <c r="D23" s="1999"/>
      <c r="E23" s="1999"/>
      <c r="F23" s="19"/>
      <c r="G23" s="25"/>
      <c r="H23" s="1253"/>
    </row>
    <row r="24" spans="2:10" ht="18">
      <c r="B24" s="1254"/>
      <c r="C24" s="1999"/>
      <c r="D24" s="1999"/>
      <c r="E24" s="1999"/>
      <c r="F24" s="436"/>
      <c r="G24" s="17"/>
      <c r="H24" s="1242"/>
    </row>
    <row r="25" spans="2:10" ht="18.600000000000001" thickBot="1">
      <c r="B25" s="1254" t="s">
        <v>803</v>
      </c>
      <c r="C25" s="1999"/>
      <c r="D25" s="1999"/>
      <c r="E25" s="1999"/>
      <c r="F25" s="436"/>
      <c r="G25" s="26">
        <f>+G22+G13</f>
        <v>559074073.91405833</v>
      </c>
      <c r="H25" s="1255">
        <f>+H22+H13</f>
        <v>509113157.11368787</v>
      </c>
      <c r="I25" s="767">
        <f>+H25-[74]BSPL!$G$26</f>
        <v>-0.49093854427337646</v>
      </c>
      <c r="J25" s="1143"/>
    </row>
    <row r="26" spans="2:10" ht="18.600000000000001" thickTop="1">
      <c r="B26" s="1256" t="s">
        <v>804</v>
      </c>
      <c r="C26" s="1999"/>
      <c r="D26" s="1999"/>
      <c r="E26" s="1999"/>
      <c r="F26" s="19"/>
      <c r="G26" s="20"/>
      <c r="H26" s="1246"/>
    </row>
    <row r="27" spans="2:10" ht="18">
      <c r="B27" s="1254" t="s">
        <v>805</v>
      </c>
      <c r="C27" s="1999"/>
      <c r="D27" s="1999"/>
      <c r="E27" s="1999"/>
      <c r="F27" s="19"/>
      <c r="G27" s="20"/>
      <c r="H27" s="1246"/>
    </row>
    <row r="28" spans="2:10" ht="18">
      <c r="B28" s="1247" t="s">
        <v>806</v>
      </c>
      <c r="C28" s="1999"/>
      <c r="D28" s="1999"/>
      <c r="E28" s="1999"/>
      <c r="F28" s="19">
        <v>11</v>
      </c>
      <c r="G28" s="21">
        <f>+G145</f>
        <v>26922650</v>
      </c>
      <c r="H28" s="1248">
        <f>+H145</f>
        <v>26922650</v>
      </c>
    </row>
    <row r="29" spans="2:10" ht="18">
      <c r="B29" s="1247" t="s">
        <v>807</v>
      </c>
      <c r="C29" s="1999"/>
      <c r="D29" s="1999"/>
      <c r="E29" s="1999"/>
      <c r="F29" s="19"/>
      <c r="G29" s="21">
        <f>+G191</f>
        <v>209025242.07525888</v>
      </c>
      <c r="H29" s="1248">
        <f>+H191</f>
        <v>246301496.99054614</v>
      </c>
      <c r="J29" s="136">
        <f>+G29-208433086</f>
        <v>592156.07525888085</v>
      </c>
    </row>
    <row r="30" spans="2:10" ht="18">
      <c r="B30" s="1254" t="s">
        <v>808</v>
      </c>
      <c r="C30" s="1999"/>
      <c r="D30" s="1999"/>
      <c r="E30" s="1999"/>
      <c r="F30" s="19"/>
      <c r="G30" s="1576">
        <f>+SUM(G28:G29)</f>
        <v>235947892.07525888</v>
      </c>
      <c r="H30" s="1810">
        <f>+SUM(H28:H29)</f>
        <v>273224146.99054611</v>
      </c>
    </row>
    <row r="31" spans="2:10" ht="18">
      <c r="B31" s="1254" t="s">
        <v>809</v>
      </c>
      <c r="C31" s="1999"/>
      <c r="D31" s="1999"/>
      <c r="E31" s="1999"/>
      <c r="F31" s="19"/>
      <c r="G31" s="20"/>
      <c r="H31" s="1246"/>
    </row>
    <row r="32" spans="2:10" ht="18">
      <c r="B32" s="1247" t="s">
        <v>810</v>
      </c>
      <c r="C32" s="1999"/>
      <c r="D32" s="1999"/>
      <c r="E32" s="1999"/>
      <c r="F32" s="19"/>
      <c r="G32" s="20"/>
      <c r="H32" s="1246"/>
    </row>
    <row r="33" spans="2:10" ht="18">
      <c r="B33" s="1247" t="s">
        <v>811</v>
      </c>
      <c r="C33" s="1999"/>
      <c r="D33" s="1999"/>
      <c r="E33" s="1999"/>
      <c r="F33" s="19">
        <v>12</v>
      </c>
      <c r="G33" s="21">
        <f>+G379</f>
        <v>114589105.09</v>
      </c>
      <c r="H33" s="1248">
        <f>+H379</f>
        <v>43066112</v>
      </c>
      <c r="J33" s="136">
        <f>+G33-114584771</f>
        <v>4334.0900000035763</v>
      </c>
    </row>
    <row r="34" spans="2:10" ht="18">
      <c r="B34" s="1247" t="s">
        <v>812</v>
      </c>
      <c r="C34" s="1999"/>
      <c r="D34" s="1999"/>
      <c r="E34" s="1999"/>
      <c r="F34" s="19">
        <v>13</v>
      </c>
      <c r="G34" s="21">
        <f>+G387</f>
        <v>838989.70000000019</v>
      </c>
      <c r="H34" s="1248">
        <f>+H387</f>
        <v>975075.70000000019</v>
      </c>
    </row>
    <row r="35" spans="2:10" ht="18">
      <c r="B35" s="1247" t="s">
        <v>813</v>
      </c>
      <c r="C35" s="1999"/>
      <c r="D35" s="1999"/>
      <c r="E35" s="1999"/>
      <c r="F35" s="19">
        <v>14</v>
      </c>
      <c r="G35" s="21">
        <f>+G402</f>
        <v>4105756.9186484311</v>
      </c>
      <c r="H35" s="1248">
        <f>+H402</f>
        <v>16151128.949873626</v>
      </c>
      <c r="I35" s="767"/>
      <c r="J35" s="1144">
        <f>+G35-4278171</f>
        <v>-172414.08135156892</v>
      </c>
    </row>
    <row r="36" spans="2:10" ht="18">
      <c r="B36" s="1257"/>
      <c r="C36" s="1999"/>
      <c r="D36" s="1999"/>
      <c r="E36" s="1999"/>
      <c r="F36" s="19"/>
      <c r="G36" s="1576">
        <f>+SUM(G33:G35)</f>
        <v>119533851.70864844</v>
      </c>
      <c r="H36" s="1810">
        <f>+SUM(H33:H35)</f>
        <v>60192316.649873629</v>
      </c>
    </row>
    <row r="37" spans="2:10" ht="18">
      <c r="B37" s="1254" t="s">
        <v>814</v>
      </c>
      <c r="C37" s="1999"/>
      <c r="D37" s="1999"/>
      <c r="E37" s="1999"/>
      <c r="F37" s="19"/>
      <c r="G37" s="20"/>
      <c r="H37" s="1246"/>
    </row>
    <row r="38" spans="2:10" ht="18">
      <c r="B38" s="1247" t="s">
        <v>810</v>
      </c>
      <c r="C38" s="1999"/>
      <c r="D38" s="1999"/>
      <c r="E38" s="1999"/>
      <c r="F38" s="19"/>
      <c r="G38" s="20"/>
      <c r="H38" s="1246"/>
    </row>
    <row r="39" spans="2:10" ht="18">
      <c r="B39" s="1247" t="s">
        <v>811</v>
      </c>
      <c r="C39" s="1999"/>
      <c r="D39" s="1999"/>
      <c r="E39" s="1999"/>
      <c r="F39" s="19">
        <v>15</v>
      </c>
      <c r="G39" s="21">
        <f>+G415</f>
        <v>101274693.28</v>
      </c>
      <c r="H39" s="1248">
        <f>+H415</f>
        <v>77209079.569999993</v>
      </c>
    </row>
    <row r="40" spans="2:10" ht="18">
      <c r="B40" s="1247" t="s">
        <v>815</v>
      </c>
      <c r="C40" s="1999"/>
      <c r="D40" s="1999"/>
      <c r="E40" s="1999"/>
      <c r="F40" s="19">
        <v>16</v>
      </c>
      <c r="G40" s="21">
        <f>+G420</f>
        <v>91597921.990151003</v>
      </c>
      <c r="H40" s="1248">
        <f>+H420</f>
        <v>87356478.839999989</v>
      </c>
      <c r="I40" s="767"/>
    </row>
    <row r="41" spans="2:10" ht="18">
      <c r="B41" s="1247" t="s">
        <v>816</v>
      </c>
      <c r="C41" s="1999"/>
      <c r="D41" s="1999"/>
      <c r="E41" s="1999"/>
      <c r="F41" s="19">
        <v>17</v>
      </c>
      <c r="G41" s="21">
        <f>+G457</f>
        <v>6397608</v>
      </c>
      <c r="H41" s="1248">
        <f>+H457</f>
        <v>1152229</v>
      </c>
      <c r="I41" s="767"/>
    </row>
    <row r="42" spans="2:10" ht="18">
      <c r="B42" s="1247" t="s">
        <v>817</v>
      </c>
      <c r="C42" s="1999"/>
      <c r="D42" s="1999"/>
      <c r="E42" s="1999"/>
      <c r="F42" s="19">
        <v>18</v>
      </c>
      <c r="G42" s="21">
        <f>+G461</f>
        <v>2312531.8599999989</v>
      </c>
      <c r="H42" s="1248">
        <f>+H461</f>
        <v>6568369.9999999991</v>
      </c>
      <c r="J42" s="136">
        <f>+G42-2609615</f>
        <v>-297083.14000000106</v>
      </c>
    </row>
    <row r="43" spans="2:10" ht="18">
      <c r="B43" s="1247" t="s">
        <v>818</v>
      </c>
      <c r="C43" s="1999"/>
      <c r="D43" s="1999"/>
      <c r="E43" s="1999"/>
      <c r="F43" s="19">
        <v>19</v>
      </c>
      <c r="G43" s="21">
        <f>+G466</f>
        <v>2009575</v>
      </c>
      <c r="H43" s="1248">
        <f>+H466</f>
        <v>3410536</v>
      </c>
    </row>
    <row r="44" spans="2:10" ht="18">
      <c r="B44" s="1254" t="s">
        <v>819</v>
      </c>
      <c r="C44" s="1999"/>
      <c r="D44" s="1999"/>
      <c r="E44" s="1999"/>
      <c r="F44" s="19"/>
      <c r="G44" s="1258">
        <f>+SUM(G39:G43)</f>
        <v>203592330.130151</v>
      </c>
      <c r="H44" s="1259">
        <f>+SUM(H39:H43)</f>
        <v>175696693.40999997</v>
      </c>
      <c r="I44" s="1742">
        <f>+G22/G44</f>
        <v>0.9809764584253412</v>
      </c>
    </row>
    <row r="45" spans="2:10" ht="18.600000000000001" thickBot="1">
      <c r="B45" s="1256" t="s">
        <v>820</v>
      </c>
      <c r="C45" s="1999"/>
      <c r="D45" s="1999"/>
      <c r="E45" s="1999"/>
      <c r="F45" s="437"/>
      <c r="G45" s="27">
        <f>+G44+G36+G30</f>
        <v>559074073.91405833</v>
      </c>
      <c r="H45" s="1260">
        <f>+H44+H36+H30</f>
        <v>509113157.05041969</v>
      </c>
      <c r="I45" s="767"/>
      <c r="J45" s="136">
        <f>SUM(J29:J42)</f>
        <v>126992.94390731445</v>
      </c>
    </row>
    <row r="46" spans="2:10" ht="18.600000000000001" thickTop="1">
      <c r="B46" s="1261" t="s">
        <v>821</v>
      </c>
      <c r="C46" s="15"/>
      <c r="D46" s="15"/>
      <c r="E46" s="15"/>
      <c r="F46" s="1079" t="s">
        <v>3134</v>
      </c>
      <c r="G46" s="28"/>
      <c r="H46" s="1262"/>
    </row>
    <row r="47" spans="2:10" ht="18">
      <c r="B47" s="1256"/>
      <c r="C47" s="1999"/>
      <c r="D47" s="1999"/>
      <c r="E47" s="1999"/>
      <c r="F47" s="2008"/>
      <c r="G47" s="29"/>
      <c r="H47" s="1263"/>
    </row>
    <row r="48" spans="2:10" ht="18">
      <c r="B48" s="1256" t="s">
        <v>822</v>
      </c>
      <c r="C48" s="1999"/>
      <c r="D48" s="1999"/>
      <c r="E48" s="1999"/>
      <c r="F48" s="2001"/>
      <c r="G48" s="30"/>
      <c r="H48" s="1264"/>
    </row>
    <row r="49" spans="2:8" ht="18">
      <c r="B49" s="1222" t="s">
        <v>823</v>
      </c>
      <c r="C49" s="1223"/>
      <c r="D49" s="1223"/>
      <c r="E49" s="1223"/>
      <c r="F49" s="1959" t="s">
        <v>824</v>
      </c>
      <c r="G49" s="31"/>
      <c r="H49" s="1265"/>
    </row>
    <row r="50" spans="2:8" ht="18">
      <c r="B50" s="1225"/>
      <c r="C50" s="1999"/>
      <c r="D50" s="1999"/>
      <c r="E50" s="1999"/>
      <c r="F50" s="1959"/>
      <c r="G50" s="31"/>
      <c r="H50" s="1265"/>
    </row>
    <row r="51" spans="2:8" ht="18">
      <c r="B51" s="1225" t="s">
        <v>825</v>
      </c>
      <c r="C51" s="1226"/>
      <c r="D51" s="1226"/>
      <c r="E51" s="1226"/>
      <c r="F51" s="2002" t="s">
        <v>826</v>
      </c>
      <c r="G51" s="33"/>
      <c r="H51" s="1266"/>
    </row>
    <row r="52" spans="2:8" ht="18">
      <c r="B52" s="1225" t="s">
        <v>827</v>
      </c>
      <c r="C52" s="1226"/>
      <c r="D52" s="1226"/>
      <c r="E52" s="1226"/>
      <c r="F52" s="1999" t="s">
        <v>828</v>
      </c>
      <c r="G52" s="31"/>
      <c r="H52" s="1265"/>
    </row>
    <row r="53" spans="2:8" ht="18">
      <c r="B53" s="1225" t="s">
        <v>829</v>
      </c>
      <c r="C53" s="1999"/>
      <c r="D53" s="1999"/>
      <c r="E53" s="1999"/>
      <c r="F53" s="1999"/>
      <c r="G53" s="31"/>
      <c r="H53" s="1265"/>
    </row>
    <row r="54" spans="2:8" ht="18">
      <c r="B54" s="1225"/>
      <c r="C54" s="1226"/>
      <c r="D54" s="1226"/>
      <c r="E54" s="1226"/>
      <c r="F54" s="1999"/>
      <c r="G54" s="31"/>
      <c r="H54" s="1265"/>
    </row>
    <row r="55" spans="2:8" ht="18">
      <c r="B55" s="1225"/>
      <c r="C55" s="1226"/>
      <c r="D55" s="1226"/>
      <c r="E55" s="1226"/>
      <c r="F55" s="1999"/>
      <c r="G55" s="31"/>
      <c r="H55" s="1265"/>
    </row>
    <row r="56" spans="2:8" ht="18">
      <c r="B56" s="1225"/>
      <c r="C56" s="1226"/>
      <c r="D56" s="1226"/>
      <c r="E56" s="1226"/>
      <c r="F56" s="2002" t="s">
        <v>830</v>
      </c>
      <c r="G56" s="33"/>
      <c r="H56" s="1266"/>
    </row>
    <row r="57" spans="2:8" ht="18">
      <c r="B57" s="1225" t="s">
        <v>2784</v>
      </c>
      <c r="C57" s="1226"/>
      <c r="D57" s="1226"/>
      <c r="E57" s="1226"/>
      <c r="F57" s="1999" t="s">
        <v>831</v>
      </c>
      <c r="G57" s="31"/>
      <c r="H57" s="1265"/>
    </row>
    <row r="58" spans="2:8" ht="18">
      <c r="B58" s="1225" t="s">
        <v>832</v>
      </c>
      <c r="C58" s="34"/>
      <c r="D58" s="34"/>
      <c r="E58" s="34"/>
      <c r="F58" s="1959"/>
      <c r="G58" s="31"/>
      <c r="H58" s="1265"/>
    </row>
    <row r="59" spans="2:8" ht="18">
      <c r="B59" s="1225" t="s">
        <v>2786</v>
      </c>
      <c r="C59" s="35"/>
      <c r="D59" s="35"/>
      <c r="E59" s="35"/>
      <c r="F59" s="1959"/>
      <c r="G59" s="31"/>
      <c r="H59" s="1265"/>
    </row>
    <row r="60" spans="2:8" ht="18">
      <c r="B60" s="1230"/>
      <c r="C60" s="35"/>
      <c r="D60" s="35"/>
      <c r="E60" s="35"/>
      <c r="F60" s="2193" t="s">
        <v>833</v>
      </c>
      <c r="G60" s="2193"/>
      <c r="H60" s="2194"/>
    </row>
    <row r="61" spans="2:8" ht="18">
      <c r="B61" s="1229" t="s">
        <v>834</v>
      </c>
      <c r="C61" s="35"/>
      <c r="D61" s="35"/>
      <c r="E61" s="35"/>
      <c r="F61" s="1999" t="s">
        <v>835</v>
      </c>
      <c r="G61" s="31"/>
      <c r="H61" s="1265"/>
    </row>
    <row r="62" spans="2:8" ht="18">
      <c r="B62" s="1229" t="s">
        <v>2969</v>
      </c>
      <c r="C62" s="35"/>
      <c r="D62" s="35"/>
      <c r="E62" s="35"/>
      <c r="F62" s="1999"/>
      <c r="G62" s="31"/>
      <c r="H62" s="1265"/>
    </row>
    <row r="63" spans="2:8" ht="18">
      <c r="B63" s="1229" t="s">
        <v>3145</v>
      </c>
      <c r="C63" s="35"/>
      <c r="D63" s="35"/>
      <c r="E63" s="35"/>
      <c r="F63" s="1999"/>
      <c r="G63" s="31"/>
      <c r="H63" s="1265"/>
    </row>
    <row r="64" spans="2:8" ht="18">
      <c r="B64" s="1225"/>
      <c r="C64" s="35"/>
      <c r="D64" s="35"/>
      <c r="E64" s="35"/>
      <c r="F64" s="1999"/>
      <c r="G64" s="31"/>
      <c r="H64" s="1265"/>
    </row>
    <row r="65" spans="2:8" ht="18">
      <c r="B65" s="1225"/>
      <c r="C65" s="35"/>
      <c r="D65" s="35"/>
      <c r="E65" s="35"/>
      <c r="F65" s="2002" t="s">
        <v>836</v>
      </c>
      <c r="G65" s="33"/>
      <c r="H65" s="1266"/>
    </row>
    <row r="66" spans="2:8" ht="18">
      <c r="B66" s="1225"/>
      <c r="C66" s="35"/>
      <c r="D66" s="35"/>
      <c r="E66" s="35"/>
      <c r="F66" s="1999" t="s">
        <v>837</v>
      </c>
      <c r="G66" s="31"/>
      <c r="H66" s="1265"/>
    </row>
    <row r="67" spans="2:8" ht="18">
      <c r="B67" s="1225"/>
      <c r="C67" s="35"/>
      <c r="D67" s="35"/>
      <c r="E67" s="35"/>
      <c r="F67" s="1999"/>
      <c r="G67" s="31"/>
      <c r="H67" s="1265"/>
    </row>
    <row r="68" spans="2:8" ht="18">
      <c r="B68" s="1225"/>
      <c r="C68" s="35"/>
      <c r="D68" s="35"/>
      <c r="E68" s="35"/>
      <c r="F68" s="1999"/>
      <c r="G68" s="31"/>
      <c r="H68" s="1265"/>
    </row>
    <row r="69" spans="2:8" ht="18">
      <c r="B69" s="1225"/>
      <c r="C69" s="35"/>
      <c r="D69" s="35"/>
      <c r="E69" s="35"/>
      <c r="F69" s="1999"/>
      <c r="G69" s="31"/>
      <c r="H69" s="1265"/>
    </row>
    <row r="70" spans="2:8" ht="18">
      <c r="B70" s="1225"/>
      <c r="C70" s="35"/>
      <c r="D70" s="35"/>
      <c r="E70" s="35"/>
      <c r="F70" s="1226" t="s">
        <v>838</v>
      </c>
      <c r="G70" s="36"/>
      <c r="H70" s="1267"/>
    </row>
    <row r="71" spans="2:8" ht="18">
      <c r="B71" s="1225"/>
      <c r="C71" s="35"/>
      <c r="D71" s="35"/>
      <c r="E71" s="35"/>
      <c r="F71" s="2003" t="s">
        <v>834</v>
      </c>
      <c r="G71" s="37"/>
      <c r="H71" s="1268"/>
    </row>
    <row r="72" spans="2:8" ht="18.600000000000001" thickBot="1">
      <c r="B72" s="1232"/>
      <c r="C72" s="1432"/>
      <c r="D72" s="1432"/>
      <c r="E72" s="1432"/>
      <c r="F72" s="1433" t="s">
        <v>2969</v>
      </c>
      <c r="G72" s="1438"/>
      <c r="H72" s="1439"/>
    </row>
    <row r="73" spans="2:8" ht="18">
      <c r="B73" s="2195" t="s">
        <v>785</v>
      </c>
      <c r="C73" s="2196"/>
      <c r="D73" s="2196"/>
      <c r="E73" s="2196"/>
      <c r="F73" s="2196"/>
      <c r="G73" s="2196"/>
      <c r="H73" s="2197"/>
    </row>
    <row r="74" spans="2:8" ht="18">
      <c r="B74" s="2211" t="s">
        <v>2780</v>
      </c>
      <c r="C74" s="2212"/>
      <c r="D74" s="2212"/>
      <c r="E74" s="2212"/>
      <c r="F74" s="2212"/>
      <c r="G74" s="2212"/>
      <c r="H74" s="2213"/>
    </row>
    <row r="75" spans="2:8" ht="18">
      <c r="B75" s="1235" t="s">
        <v>532</v>
      </c>
      <c r="C75" s="1236"/>
      <c r="D75" s="1236"/>
      <c r="E75" s="1271"/>
      <c r="F75" s="2190" t="s">
        <v>839</v>
      </c>
      <c r="G75" s="1237" t="str">
        <f>+G4</f>
        <v xml:space="preserve">As At </v>
      </c>
      <c r="H75" s="1238" t="str">
        <f>+H4</f>
        <v xml:space="preserve">As At </v>
      </c>
    </row>
    <row r="76" spans="2:8" ht="18">
      <c r="B76" s="1239" t="s">
        <v>841</v>
      </c>
      <c r="C76" s="15"/>
      <c r="D76" s="15"/>
      <c r="E76" s="40"/>
      <c r="F76" s="2191"/>
      <c r="G76" s="41" t="str">
        <f>+G5</f>
        <v>March 31, 2023 (₹)</v>
      </c>
      <c r="H76" s="1272" t="str">
        <f>+H5</f>
        <v>March 31, 2022 (₹)</v>
      </c>
    </row>
    <row r="77" spans="2:8" ht="18">
      <c r="B77" s="1247" t="s">
        <v>842</v>
      </c>
      <c r="C77" s="1999"/>
      <c r="D77" s="1999"/>
      <c r="E77" s="1999"/>
      <c r="F77" s="1273">
        <v>20</v>
      </c>
      <c r="G77" s="1274">
        <f>+G474</f>
        <v>1052317702.4200001</v>
      </c>
      <c r="H77" s="1275">
        <f>+H474</f>
        <v>1124021510.75</v>
      </c>
    </row>
    <row r="78" spans="2:8" ht="18">
      <c r="B78" s="1247" t="s">
        <v>843</v>
      </c>
      <c r="C78" s="1999"/>
      <c r="D78" s="1999"/>
      <c r="E78" s="1999"/>
      <c r="F78" s="438">
        <v>21</v>
      </c>
      <c r="G78" s="21">
        <f>+G478</f>
        <v>1091313.059849001</v>
      </c>
      <c r="H78" s="1248">
        <f>+H478</f>
        <v>1391218.6099999999</v>
      </c>
    </row>
    <row r="79" spans="2:8" ht="18">
      <c r="B79" s="1254" t="s">
        <v>844</v>
      </c>
      <c r="C79" s="1999"/>
      <c r="D79" s="1999"/>
      <c r="E79" s="1999"/>
      <c r="F79" s="437"/>
      <c r="G79" s="1554">
        <f>+G77+G78</f>
        <v>1053409015.4798491</v>
      </c>
      <c r="H79" s="1811">
        <f>+H77+H78</f>
        <v>1125412729.3599999</v>
      </c>
    </row>
    <row r="80" spans="2:8" ht="18">
      <c r="B80" s="1276" t="s">
        <v>845</v>
      </c>
      <c r="C80" s="1999"/>
      <c r="D80" s="1999"/>
      <c r="E80" s="1999"/>
      <c r="F80" s="437"/>
      <c r="G80" s="44"/>
      <c r="H80" s="1242"/>
    </row>
    <row r="81" spans="2:9" ht="18">
      <c r="B81" s="1247" t="s">
        <v>846</v>
      </c>
      <c r="C81" s="1999"/>
      <c r="D81" s="1999"/>
      <c r="E81" s="1999"/>
      <c r="F81" s="438">
        <v>22</v>
      </c>
      <c r="G81" s="21">
        <f>+G484</f>
        <v>815123705.66636157</v>
      </c>
      <c r="H81" s="1248">
        <f>+H484</f>
        <v>866942160.29999995</v>
      </c>
      <c r="I81" s="1144">
        <f>+G81-[75]BSPL!$E$81</f>
        <v>-297567</v>
      </c>
    </row>
    <row r="82" spans="2:9" ht="18">
      <c r="B82" s="1247" t="s">
        <v>847</v>
      </c>
      <c r="C82" s="1999"/>
      <c r="D82" s="1999"/>
      <c r="E82" s="1999"/>
      <c r="F82" s="438"/>
      <c r="G82" s="21">
        <v>0</v>
      </c>
      <c r="H82" s="1248">
        <v>0</v>
      </c>
    </row>
    <row r="83" spans="2:9" ht="18">
      <c r="B83" s="1277" t="s">
        <v>848</v>
      </c>
      <c r="C83" s="1999"/>
      <c r="D83" s="1999"/>
      <c r="E83" s="1999"/>
      <c r="F83" s="438">
        <v>23</v>
      </c>
      <c r="G83" s="21">
        <f>+G488</f>
        <v>623065</v>
      </c>
      <c r="H83" s="1248">
        <f>+H488</f>
        <v>-988480.28211065382</v>
      </c>
    </row>
    <row r="84" spans="2:9" ht="18">
      <c r="B84" s="1247" t="s">
        <v>849</v>
      </c>
      <c r="C84" s="1999"/>
      <c r="D84" s="1999"/>
      <c r="E84" s="1999"/>
      <c r="F84" s="438">
        <v>24</v>
      </c>
      <c r="G84" s="21">
        <f>+G493</f>
        <v>18473732</v>
      </c>
      <c r="H84" s="1248">
        <f>+H493</f>
        <v>24533935</v>
      </c>
    </row>
    <row r="85" spans="2:9" ht="18">
      <c r="B85" s="1247" t="s">
        <v>850</v>
      </c>
      <c r="C85" s="1999"/>
      <c r="D85" s="1999"/>
      <c r="E85" s="24"/>
      <c r="F85" s="438">
        <v>25</v>
      </c>
      <c r="G85" s="21">
        <f>+G497</f>
        <v>8587641</v>
      </c>
      <c r="H85" s="1248">
        <f>+H497</f>
        <v>7602953.1500000004</v>
      </c>
      <c r="I85" s="767">
        <f>+G85-[75]BSPL!$E$85</f>
        <v>-122174</v>
      </c>
    </row>
    <row r="86" spans="2:9" ht="18">
      <c r="B86" s="2110" t="s">
        <v>851</v>
      </c>
      <c r="C86" s="2111"/>
      <c r="D86" s="2009"/>
      <c r="E86" s="439"/>
      <c r="F86" s="438">
        <v>2</v>
      </c>
      <c r="G86" s="21">
        <f>+Depreciation!G70</f>
        <v>18081667</v>
      </c>
      <c r="H86" s="1248">
        <v>17957748.491325565</v>
      </c>
    </row>
    <row r="87" spans="2:9" ht="18">
      <c r="B87" s="1247" t="s">
        <v>852</v>
      </c>
      <c r="C87" s="1999"/>
      <c r="D87" s="1999"/>
      <c r="E87" s="24"/>
      <c r="F87" s="438">
        <v>26</v>
      </c>
      <c r="G87" s="21">
        <f>+G551</f>
        <v>242294252.75999999</v>
      </c>
      <c r="H87" s="1248">
        <f>+H551</f>
        <v>206278685.94000003</v>
      </c>
    </row>
    <row r="88" spans="2:9" ht="18">
      <c r="B88" s="1254" t="s">
        <v>853</v>
      </c>
      <c r="C88" s="1999"/>
      <c r="D88" s="1999"/>
      <c r="E88" s="24"/>
      <c r="F88" s="437"/>
      <c r="G88" s="1554">
        <f>+SUM(G81:G87)</f>
        <v>1103184063.4263616</v>
      </c>
      <c r="H88" s="1811">
        <f>+SUM(H81:H87)</f>
        <v>1122327002.5992148</v>
      </c>
    </row>
    <row r="89" spans="2:9" ht="18">
      <c r="B89" s="1256" t="s">
        <v>854</v>
      </c>
      <c r="C89" s="2015"/>
      <c r="D89" s="2015"/>
      <c r="E89" s="440"/>
      <c r="F89" s="437"/>
      <c r="G89" s="45">
        <f>+G79-G88</f>
        <v>-49775047.946512461</v>
      </c>
      <c r="H89" s="1278">
        <f>+H79-H88</f>
        <v>3085726.7607851028</v>
      </c>
    </row>
    <row r="90" spans="2:9" ht="18">
      <c r="B90" s="2110" t="s">
        <v>855</v>
      </c>
      <c r="C90" s="2111"/>
      <c r="D90" s="2009"/>
      <c r="E90" s="439"/>
      <c r="F90" s="437"/>
      <c r="G90" s="44">
        <v>0</v>
      </c>
      <c r="H90" s="1242">
        <v>0</v>
      </c>
    </row>
    <row r="91" spans="2:9" ht="18">
      <c r="B91" s="1249"/>
      <c r="C91" s="2009"/>
      <c r="D91" s="2009"/>
      <c r="E91" s="2009"/>
      <c r="F91" s="437"/>
      <c r="G91" s="44"/>
      <c r="H91" s="1242"/>
    </row>
    <row r="92" spans="2:9" ht="18">
      <c r="B92" s="1254" t="s">
        <v>856</v>
      </c>
      <c r="C92" s="1999"/>
      <c r="D92" s="1999"/>
      <c r="E92" s="1999"/>
      <c r="F92" s="46"/>
      <c r="G92" s="45">
        <f>+G89-G90</f>
        <v>-49775047.946512461</v>
      </c>
      <c r="H92" s="1278">
        <f>+H89-H90</f>
        <v>3085726.7607851028</v>
      </c>
      <c r="I92" s="767">
        <f>+G92+G86</f>
        <v>-31693380.946512461</v>
      </c>
    </row>
    <row r="93" spans="2:9" ht="18">
      <c r="B93" s="1247" t="s">
        <v>857</v>
      </c>
      <c r="C93" s="1999"/>
      <c r="D93" s="1999"/>
      <c r="E93" s="1999"/>
      <c r="F93" s="46"/>
      <c r="G93" s="44"/>
      <c r="H93" s="1242"/>
    </row>
    <row r="94" spans="2:9" ht="18">
      <c r="B94" s="1247" t="s">
        <v>858</v>
      </c>
      <c r="C94" s="1999"/>
      <c r="D94" s="1999"/>
      <c r="E94" s="1999"/>
      <c r="F94" s="438"/>
      <c r="G94" s="47">
        <v>0</v>
      </c>
      <c r="H94" s="1244">
        <v>2584428.986312204</v>
      </c>
    </row>
    <row r="95" spans="2:9" ht="18">
      <c r="B95" s="1247" t="s">
        <v>859</v>
      </c>
      <c r="C95" s="1999"/>
      <c r="D95" s="1999"/>
      <c r="E95" s="1999"/>
      <c r="F95" s="438"/>
      <c r="G95" s="47">
        <v>0</v>
      </c>
      <c r="H95" s="1244">
        <v>0</v>
      </c>
    </row>
    <row r="96" spans="2:9" ht="18">
      <c r="B96" s="1247" t="s">
        <v>2924</v>
      </c>
      <c r="C96" s="1999"/>
      <c r="D96" s="1999"/>
      <c r="E96" s="1999"/>
      <c r="F96" s="438"/>
      <c r="G96" s="48">
        <v>0</v>
      </c>
      <c r="H96" s="1248">
        <v>0</v>
      </c>
    </row>
    <row r="97" spans="2:9" ht="18">
      <c r="B97" s="1247" t="s">
        <v>860</v>
      </c>
      <c r="C97" s="1999"/>
      <c r="D97" s="1999"/>
      <c r="E97" s="1999"/>
      <c r="F97" s="438"/>
      <c r="G97" s="48">
        <f>+DT!I34</f>
        <v>-12045372.031225195</v>
      </c>
      <c r="H97" s="1248">
        <v>-3323991.2160732485</v>
      </c>
      <c r="I97" s="1144">
        <f>+G97-[75]BSPL!$E$97</f>
        <v>-172413.59234269708</v>
      </c>
    </row>
    <row r="98" spans="2:9" ht="18">
      <c r="B98" s="1247"/>
      <c r="C98" s="1999"/>
      <c r="D98" s="1999"/>
      <c r="E98" s="1999"/>
      <c r="F98" s="438"/>
      <c r="G98" s="1812">
        <f>+SUM(G94:G97)</f>
        <v>-12045372.031225195</v>
      </c>
      <c r="H98" s="1791">
        <f>+SUM(H94:H97)</f>
        <v>-739562.22976104449</v>
      </c>
    </row>
    <row r="99" spans="2:9" ht="18.600000000000001" thickBot="1">
      <c r="B99" s="1254" t="s">
        <v>861</v>
      </c>
      <c r="C99" s="1999"/>
      <c r="D99" s="1999"/>
      <c r="E99" s="1999"/>
      <c r="F99" s="437"/>
      <c r="G99" s="49">
        <f>+G92-G98</f>
        <v>-37729675.915287264</v>
      </c>
      <c r="H99" s="1279">
        <f>+H92-H98</f>
        <v>3825288.9905461473</v>
      </c>
    </row>
    <row r="100" spans="2:9" ht="18.600000000000001" thickTop="1">
      <c r="B100" s="2214"/>
      <c r="C100" s="2215"/>
      <c r="D100" s="2016"/>
      <c r="E100" s="24"/>
      <c r="F100" s="437"/>
      <c r="G100" s="44"/>
      <c r="H100" s="1242"/>
    </row>
    <row r="101" spans="2:9" ht="18">
      <c r="B101" s="2214" t="s">
        <v>312</v>
      </c>
      <c r="C101" s="2215"/>
      <c r="D101" s="2016"/>
      <c r="E101" s="24"/>
      <c r="F101" s="438">
        <v>27</v>
      </c>
      <c r="G101" s="51"/>
      <c r="H101" s="1246"/>
    </row>
    <row r="102" spans="2:9" ht="18">
      <c r="B102" s="1277" t="s">
        <v>862</v>
      </c>
      <c r="C102" s="2017"/>
      <c r="D102" s="2017"/>
      <c r="E102" s="24"/>
      <c r="F102" s="436"/>
      <c r="G102" s="17">
        <f>+G564</f>
        <v>453421</v>
      </c>
      <c r="H102" s="1242">
        <f>+H564</f>
        <v>1104075</v>
      </c>
    </row>
    <row r="103" spans="2:9" ht="18">
      <c r="B103" s="1277" t="s">
        <v>863</v>
      </c>
      <c r="C103" s="2017"/>
      <c r="D103" s="2017"/>
      <c r="E103" s="24"/>
      <c r="F103" s="436"/>
      <c r="G103" s="17">
        <v>0</v>
      </c>
      <c r="H103" s="1242">
        <v>0</v>
      </c>
    </row>
    <row r="104" spans="2:9" ht="18">
      <c r="B104" s="1277" t="s">
        <v>864</v>
      </c>
      <c r="C104" s="2017"/>
      <c r="D104" s="2017"/>
      <c r="E104" s="24"/>
      <c r="F104" s="436"/>
      <c r="G104" s="17">
        <v>0</v>
      </c>
      <c r="H104" s="1242">
        <v>0</v>
      </c>
    </row>
    <row r="105" spans="2:9" ht="18">
      <c r="B105" s="1277" t="s">
        <v>863</v>
      </c>
      <c r="C105" s="2018"/>
      <c r="D105" s="2018"/>
      <c r="E105" s="24"/>
      <c r="F105" s="436"/>
      <c r="G105" s="52">
        <v>0</v>
      </c>
      <c r="H105" s="1280">
        <v>0</v>
      </c>
    </row>
    <row r="106" spans="2:9" ht="18">
      <c r="B106" s="1241" t="s">
        <v>865</v>
      </c>
      <c r="C106" s="2019"/>
      <c r="D106" s="2019"/>
      <c r="E106" s="24"/>
      <c r="F106" s="436"/>
      <c r="G106" s="52">
        <f>+SUM(G102:G105)</f>
        <v>453421</v>
      </c>
      <c r="H106" s="1280">
        <f>+SUM(H102:H105)</f>
        <v>1104075</v>
      </c>
    </row>
    <row r="107" spans="2:9" ht="18">
      <c r="B107" s="2203"/>
      <c r="C107" s="2204"/>
      <c r="D107" s="2204"/>
      <c r="E107" s="2205"/>
      <c r="F107" s="437"/>
      <c r="G107" s="44"/>
      <c r="H107" s="1242"/>
    </row>
    <row r="108" spans="2:9" ht="18">
      <c r="B108" s="1241"/>
      <c r="C108" s="2019"/>
      <c r="D108" s="2019"/>
      <c r="E108" s="24"/>
      <c r="F108" s="437"/>
      <c r="G108" s="44"/>
      <c r="H108" s="1242"/>
    </row>
    <row r="109" spans="2:9" ht="18.600000000000001" thickBot="1">
      <c r="B109" s="2203" t="s">
        <v>866</v>
      </c>
      <c r="C109" s="2204"/>
      <c r="D109" s="2020"/>
      <c r="E109" s="24"/>
      <c r="F109" s="437"/>
      <c r="G109" s="50">
        <f>+G99+G106</f>
        <v>-37276254.915287264</v>
      </c>
      <c r="H109" s="1279">
        <f>+H99+H106</f>
        <v>4929363.9905461473</v>
      </c>
      <c r="I109" s="767">
        <f>+G109+51556224.84</f>
        <v>14279969.92471274</v>
      </c>
    </row>
    <row r="110" spans="2:9" ht="18.600000000000001" thickTop="1">
      <c r="B110" s="2203"/>
      <c r="C110" s="2204"/>
      <c r="D110" s="2020"/>
      <c r="E110" s="24"/>
      <c r="F110" s="437"/>
      <c r="G110" s="44"/>
      <c r="H110" s="1242"/>
      <c r="I110" s="767">
        <f>18968916-G86</f>
        <v>887249</v>
      </c>
    </row>
    <row r="111" spans="2:9" ht="18">
      <c r="B111" s="1247" t="s">
        <v>867</v>
      </c>
      <c r="C111" s="1999"/>
      <c r="D111" s="1999"/>
      <c r="E111" s="1999"/>
      <c r="F111" s="441">
        <v>28</v>
      </c>
      <c r="G111" s="53">
        <f t="shared" ref="G111:H112" si="0">+G569</f>
        <v>-14.014101849293166</v>
      </c>
      <c r="H111" s="1281">
        <f t="shared" si="0"/>
        <v>1.4208441555887505</v>
      </c>
    </row>
    <row r="112" spans="2:9" ht="18">
      <c r="B112" s="1247" t="s">
        <v>868</v>
      </c>
      <c r="C112" s="1999"/>
      <c r="D112" s="1999"/>
      <c r="E112" s="1999"/>
      <c r="F112" s="441"/>
      <c r="G112" s="53">
        <f t="shared" si="0"/>
        <v>-14.014101849293166</v>
      </c>
      <c r="H112" s="1281">
        <f t="shared" si="0"/>
        <v>1.4208441555887505</v>
      </c>
    </row>
    <row r="113" spans="2:8" ht="18">
      <c r="B113" s="1261" t="s">
        <v>821</v>
      </c>
      <c r="C113" s="442"/>
      <c r="D113" s="442"/>
      <c r="E113" s="443"/>
      <c r="F113" s="1079" t="s">
        <v>3134</v>
      </c>
      <c r="G113" s="54"/>
      <c r="H113" s="1262"/>
    </row>
    <row r="114" spans="2:8" ht="18">
      <c r="B114" s="1256"/>
      <c r="C114" s="2015"/>
      <c r="D114" s="2015"/>
      <c r="E114" s="2016"/>
      <c r="F114" s="1282"/>
      <c r="G114" s="29"/>
      <c r="H114" s="1263"/>
    </row>
    <row r="115" spans="2:8" ht="18">
      <c r="B115" s="1283" t="s">
        <v>822</v>
      </c>
      <c r="C115" s="34"/>
      <c r="D115" s="34"/>
      <c r="E115" s="34"/>
      <c r="F115" s="1959"/>
      <c r="G115" s="31"/>
      <c r="H115" s="1265"/>
    </row>
    <row r="116" spans="2:8" ht="18">
      <c r="B116" s="1222" t="str">
        <f>+B49</f>
        <v>As per our report of even date</v>
      </c>
      <c r="C116" s="1223"/>
      <c r="D116" s="1223"/>
      <c r="E116" s="1223"/>
      <c r="F116" s="1959" t="s">
        <v>824</v>
      </c>
      <c r="G116" s="31"/>
      <c r="H116" s="1265"/>
    </row>
    <row r="117" spans="2:8" ht="18">
      <c r="B117" s="1225"/>
      <c r="C117" s="1999"/>
      <c r="D117" s="1999"/>
      <c r="E117" s="1999"/>
      <c r="F117" s="1959"/>
      <c r="G117" s="31"/>
      <c r="H117" s="1265"/>
    </row>
    <row r="118" spans="2:8" ht="18">
      <c r="B118" s="1284" t="str">
        <f t="shared" ref="B118:B126" si="1">+B51</f>
        <v>FOR DARAK AND ASSOCIATES</v>
      </c>
      <c r="C118" s="1226"/>
      <c r="D118" s="1226"/>
      <c r="E118" s="1226"/>
      <c r="F118" s="1958" t="str">
        <f>+F51</f>
        <v>ANIL KUMAR LAKHOTIYA - MANAGING  DIRECTOR</v>
      </c>
      <c r="G118" s="31"/>
      <c r="H118" s="1265"/>
    </row>
    <row r="119" spans="2:8" ht="18">
      <c r="B119" s="1284" t="str">
        <f t="shared" si="1"/>
        <v>CHARTERED ACCOUNTANTS</v>
      </c>
      <c r="C119" s="1226"/>
      <c r="D119" s="1226"/>
      <c r="E119" s="1226"/>
      <c r="F119" s="1959" t="str">
        <f>+F52</f>
        <v>(DIN:00367361)</v>
      </c>
      <c r="G119" s="31"/>
      <c r="H119" s="1265"/>
    </row>
    <row r="120" spans="2:8" ht="18">
      <c r="B120" s="1284" t="str">
        <f t="shared" si="1"/>
        <v>FIRM REGISTRATION NO.: 132818W</v>
      </c>
      <c r="C120" s="1999"/>
      <c r="D120" s="1999"/>
      <c r="E120" s="1999"/>
      <c r="F120" s="2002"/>
      <c r="G120" s="33"/>
      <c r="H120" s="1266"/>
    </row>
    <row r="121" spans="2:8" ht="18">
      <c r="B121" s="1284"/>
      <c r="C121" s="1999"/>
      <c r="D121" s="1999"/>
      <c r="E121" s="1999"/>
      <c r="F121" s="1999"/>
      <c r="G121" s="31"/>
      <c r="H121" s="1265"/>
    </row>
    <row r="122" spans="2:8" ht="18">
      <c r="B122" s="1284"/>
      <c r="C122" s="1999"/>
      <c r="D122" s="1999"/>
      <c r="E122" s="1999"/>
      <c r="F122" s="1226" t="str">
        <f>+F56</f>
        <v>KAILASH AGARWAL - WHOLE TIME DIRECTOR</v>
      </c>
      <c r="G122" s="31"/>
      <c r="H122" s="1265"/>
    </row>
    <row r="123" spans="2:8" ht="18">
      <c r="B123" s="1284"/>
      <c r="C123" s="1226"/>
      <c r="D123" s="1226"/>
      <c r="E123" s="1226"/>
      <c r="F123" s="1999" t="str">
        <f>+F57</f>
        <v>(DIN:00367292)</v>
      </c>
      <c r="G123" s="31"/>
      <c r="H123" s="1265"/>
    </row>
    <row r="124" spans="2:8" ht="18">
      <c r="B124" s="1284" t="str">
        <f t="shared" si="1"/>
        <v>SUMIT M. DARAK</v>
      </c>
      <c r="C124" s="35"/>
      <c r="D124" s="35"/>
      <c r="E124" s="35"/>
      <c r="F124" s="1999"/>
      <c r="G124" s="31"/>
      <c r="H124" s="1265"/>
    </row>
    <row r="125" spans="2:8" ht="18">
      <c r="B125" s="1284" t="str">
        <f t="shared" si="1"/>
        <v>PARTNER</v>
      </c>
      <c r="C125" s="35"/>
      <c r="D125" s="35"/>
      <c r="E125" s="35"/>
      <c r="F125" s="1959"/>
      <c r="G125" s="31"/>
      <c r="H125" s="1265"/>
    </row>
    <row r="126" spans="2:8" ht="18">
      <c r="B126" s="1285" t="str">
        <f t="shared" si="1"/>
        <v>MEMBERSHIP NO. : 141902</v>
      </c>
      <c r="C126" s="35"/>
      <c r="D126" s="35"/>
      <c r="E126" s="35"/>
      <c r="F126" s="2193" t="str">
        <f>+F60</f>
        <v>JARNAIL SINGH SAINI - CHIEF FINANCIAL OFFICER &amp; EXECUTIVE DIRECTOR</v>
      </c>
      <c r="G126" s="2193"/>
      <c r="H126" s="2194"/>
    </row>
    <row r="127" spans="2:8" ht="18">
      <c r="B127" s="1222"/>
      <c r="C127" s="35"/>
      <c r="D127" s="35"/>
      <c r="E127" s="35"/>
      <c r="F127" s="2201" t="str">
        <f>+F61</f>
        <v>(DIN:00367656)</v>
      </c>
      <c r="G127" s="2201"/>
      <c r="H127" s="2202"/>
    </row>
    <row r="128" spans="2:8" ht="18">
      <c r="B128" s="1229" t="str">
        <f>+B61</f>
        <v>Place: Nagpur</v>
      </c>
      <c r="C128" s="1999"/>
      <c r="D128" s="1999"/>
      <c r="E128" s="1999"/>
      <c r="F128" s="1999"/>
      <c r="G128" s="31"/>
      <c r="H128" s="1265"/>
    </row>
    <row r="129" spans="2:8" ht="18">
      <c r="B129" s="1229" t="str">
        <f t="shared" ref="B129:B130" si="2">+B62</f>
        <v>Date: 27/05/2023</v>
      </c>
      <c r="C129" s="1999"/>
      <c r="D129" s="1999"/>
      <c r="E129" s="1999"/>
      <c r="F129" s="1999"/>
      <c r="G129" s="31"/>
      <c r="H129" s="1265"/>
    </row>
    <row r="130" spans="2:8" ht="18">
      <c r="B130" s="1229" t="str">
        <f t="shared" si="2"/>
        <v>UDIN: 23141902BGXWON4071</v>
      </c>
      <c r="C130" s="1999"/>
      <c r="D130" s="1999"/>
      <c r="E130" s="1999"/>
      <c r="F130" s="1226" t="str">
        <f>+F65</f>
        <v>OMPRAKASH RATHI - WHOLE TIME DIRECTOR</v>
      </c>
      <c r="G130" s="31"/>
      <c r="H130" s="1265"/>
    </row>
    <row r="131" spans="2:8" ht="18">
      <c r="B131" s="1229"/>
      <c r="C131" s="1999"/>
      <c r="D131" s="1999"/>
      <c r="E131" s="1999"/>
      <c r="F131" s="2003" t="str">
        <f>+F66</f>
        <v>(DIN:00895316)</v>
      </c>
      <c r="G131" s="33"/>
      <c r="H131" s="1266"/>
    </row>
    <row r="132" spans="2:8" ht="18">
      <c r="B132" s="1229"/>
      <c r="C132" s="1999"/>
      <c r="D132" s="1999"/>
      <c r="E132" s="1999"/>
      <c r="F132" s="1999"/>
      <c r="G132" s="31"/>
      <c r="H132" s="1265"/>
    </row>
    <row r="133" spans="2:8" ht="18">
      <c r="B133" s="1229"/>
      <c r="C133" s="1999"/>
      <c r="D133" s="1999"/>
      <c r="E133" s="1999"/>
      <c r="F133" s="1999"/>
      <c r="G133" s="31"/>
      <c r="H133" s="1265"/>
    </row>
    <row r="134" spans="2:8" ht="18">
      <c r="B134" s="1229"/>
      <c r="C134" s="1999"/>
      <c r="D134" s="1999"/>
      <c r="E134" s="1999"/>
      <c r="F134" s="1226" t="str">
        <f>+F70</f>
        <v>MAYANK LUNIYA - COMPANY SECRETARY</v>
      </c>
      <c r="G134" s="31"/>
      <c r="H134" s="1265"/>
    </row>
    <row r="135" spans="2:8" ht="18">
      <c r="B135" s="1229"/>
      <c r="C135" s="1999"/>
      <c r="D135" s="1999"/>
      <c r="E135" s="1999"/>
      <c r="F135" s="1226"/>
      <c r="G135" s="31"/>
      <c r="H135" s="1265"/>
    </row>
    <row r="136" spans="2:8" ht="18">
      <c r="B136" s="1229"/>
      <c r="C136" s="1999"/>
      <c r="D136" s="1999"/>
      <c r="E136" s="1999"/>
      <c r="F136" s="1959" t="str">
        <f>+F71</f>
        <v>Place: Nagpur</v>
      </c>
      <c r="G136" s="31"/>
      <c r="H136" s="1265"/>
    </row>
    <row r="137" spans="2:8" ht="18.600000000000001" thickBot="1">
      <c r="B137" s="1440"/>
      <c r="C137" s="1441"/>
      <c r="D137" s="1441"/>
      <c r="E137" s="1441"/>
      <c r="F137" s="1433" t="str">
        <f>+F72</f>
        <v>Date: 27/05/2023</v>
      </c>
      <c r="G137" s="1435"/>
      <c r="H137" s="1436"/>
    </row>
    <row r="138" spans="2:8" ht="18">
      <c r="B138" s="2206" t="s">
        <v>785</v>
      </c>
      <c r="C138" s="2207"/>
      <c r="D138" s="2207"/>
      <c r="E138" s="2207"/>
      <c r="F138" s="2207"/>
      <c r="G138" s="2207"/>
      <c r="H138" s="2208"/>
    </row>
    <row r="139" spans="2:8" ht="18">
      <c r="B139" s="2198" t="s">
        <v>2779</v>
      </c>
      <c r="C139" s="2199"/>
      <c r="D139" s="2199"/>
      <c r="E139" s="2199"/>
      <c r="F139" s="2199"/>
      <c r="G139" s="2199"/>
      <c r="H139" s="2200"/>
    </row>
    <row r="140" spans="2:8" ht="18">
      <c r="B140" s="1287" t="s">
        <v>0</v>
      </c>
      <c r="C140" s="1288"/>
      <c r="D140" s="1288"/>
      <c r="E140" s="1288"/>
      <c r="F140" s="1289"/>
      <c r="G140" s="1237" t="s">
        <v>788</v>
      </c>
      <c r="H140" s="1238" t="s">
        <v>788</v>
      </c>
    </row>
    <row r="141" spans="2:8" ht="18">
      <c r="B141" s="1269"/>
      <c r="C141" s="55"/>
      <c r="D141" s="55"/>
      <c r="E141" s="55"/>
      <c r="F141" s="56"/>
      <c r="G141" s="41" t="str">
        <f>+G5</f>
        <v>March 31, 2023 (₹)</v>
      </c>
      <c r="H141" s="1272" t="str">
        <f>+H5</f>
        <v>March 31, 2022 (₹)</v>
      </c>
    </row>
    <row r="142" spans="2:8" ht="18">
      <c r="B142" s="1290" t="s">
        <v>869</v>
      </c>
      <c r="C142" s="2021"/>
      <c r="D142" s="2021"/>
      <c r="E142" s="2021"/>
      <c r="F142" s="2021"/>
      <c r="G142" s="57"/>
      <c r="H142" s="1291"/>
    </row>
    <row r="143" spans="2:8" ht="18">
      <c r="B143" s="1229" t="s">
        <v>870</v>
      </c>
      <c r="C143" s="2004"/>
      <c r="D143" s="2004"/>
      <c r="E143" s="2004"/>
      <c r="F143" s="1999"/>
      <c r="G143" s="58">
        <f>+H145</f>
        <v>26922650</v>
      </c>
      <c r="H143" s="1292">
        <f>+GETPIVOTDATA("Sum of Cr. Final 21-22",Pivot!$A$3,"PARTICULARS","Equity Share Capital","Note",12,"BS Main Head","Share Capital","BS Sub Head","Issued, Subscribed &amp; Paid Up")</f>
        <v>26922650</v>
      </c>
    </row>
    <row r="144" spans="2:8" ht="18">
      <c r="B144" s="1229" t="s">
        <v>871</v>
      </c>
      <c r="C144" s="2004"/>
      <c r="D144" s="2004"/>
      <c r="E144" s="2004"/>
      <c r="F144" s="1999"/>
      <c r="G144" s="59">
        <v>0</v>
      </c>
      <c r="H144" s="1293">
        <v>0</v>
      </c>
    </row>
    <row r="145" spans="2:8" ht="18.600000000000001" thickBot="1">
      <c r="B145" s="1294" t="s">
        <v>872</v>
      </c>
      <c r="C145" s="2004"/>
      <c r="D145" s="2004"/>
      <c r="E145" s="2004"/>
      <c r="F145" s="1999"/>
      <c r="G145" s="60">
        <f>+SUM(G143:G144)</f>
        <v>26922650</v>
      </c>
      <c r="H145" s="1295">
        <f>+SUM(H143:H144)</f>
        <v>26922650</v>
      </c>
    </row>
    <row r="146" spans="2:8" ht="18.600000000000001" thickTop="1">
      <c r="B146" s="1294"/>
      <c r="C146" s="2004"/>
      <c r="D146" s="2004"/>
      <c r="E146" s="2004"/>
      <c r="F146" s="1999"/>
      <c r="G146" s="59"/>
      <c r="H146" s="1293"/>
    </row>
    <row r="147" spans="2:8" ht="18">
      <c r="B147" s="1290" t="s">
        <v>873</v>
      </c>
      <c r="C147" s="2004"/>
      <c r="D147" s="2004"/>
      <c r="E147" s="2004"/>
      <c r="F147" s="2004"/>
      <c r="G147" s="58"/>
      <c r="H147" s="1292"/>
    </row>
    <row r="148" spans="2:8" ht="18">
      <c r="B148" s="1296" t="s">
        <v>86</v>
      </c>
      <c r="C148" s="2004"/>
      <c r="D148" s="2004"/>
      <c r="E148" s="2004"/>
      <c r="F148" s="2004"/>
      <c r="G148" s="58"/>
      <c r="H148" s="1292"/>
    </row>
    <row r="149" spans="2:8" ht="18">
      <c r="B149" s="1297" t="s">
        <v>874</v>
      </c>
      <c r="C149" s="2022"/>
      <c r="D149" s="2022"/>
      <c r="E149" s="2022"/>
      <c r="F149" s="2004"/>
      <c r="G149" s="61">
        <f>+H153</f>
        <v>20413989</v>
      </c>
      <c r="H149" s="1292">
        <f>+GETPIVOTDATA("Sum of Cr. Final 21-22",Pivot!$A$3,"PARTICULARS","Capital Reserves","Note",12,"BS Main Head","Reserves &amp; Surplus","BS Sub Head","Capital Reserve")</f>
        <v>20413989</v>
      </c>
    </row>
    <row r="150" spans="2:8" ht="18">
      <c r="B150" s="1294" t="s">
        <v>875</v>
      </c>
      <c r="C150" s="2004"/>
      <c r="D150" s="2004"/>
      <c r="E150" s="2004"/>
      <c r="F150" s="2004"/>
      <c r="G150" s="58">
        <v>0</v>
      </c>
      <c r="H150" s="1292">
        <v>0</v>
      </c>
    </row>
    <row r="151" spans="2:8" ht="18">
      <c r="B151" s="1294" t="s">
        <v>876</v>
      </c>
      <c r="C151" s="2004"/>
      <c r="D151" s="2004"/>
      <c r="E151" s="2004"/>
      <c r="F151" s="2004"/>
      <c r="G151" s="1298">
        <f>+G149+G150</f>
        <v>20413989</v>
      </c>
      <c r="H151" s="1299">
        <f>+H149+H150</f>
        <v>20413989</v>
      </c>
    </row>
    <row r="152" spans="2:8" ht="18">
      <c r="B152" s="1294" t="s">
        <v>3135</v>
      </c>
      <c r="C152" s="2004"/>
      <c r="D152" s="2004"/>
      <c r="E152" s="2004"/>
      <c r="F152" s="2004"/>
      <c r="G152" s="58">
        <v>0</v>
      </c>
      <c r="H152" s="1292">
        <v>0</v>
      </c>
    </row>
    <row r="153" spans="2:8" ht="18">
      <c r="B153" s="1300" t="s">
        <v>533</v>
      </c>
      <c r="C153" s="2023"/>
      <c r="D153" s="2023"/>
      <c r="E153" s="2023"/>
      <c r="F153" s="2023"/>
      <c r="G153" s="1583">
        <f>+G151+G152</f>
        <v>20413989</v>
      </c>
      <c r="H153" s="1813">
        <f>+H151+H152</f>
        <v>20413989</v>
      </c>
    </row>
    <row r="154" spans="2:8" ht="18">
      <c r="B154" s="1300"/>
      <c r="C154" s="2023"/>
      <c r="D154" s="2023"/>
      <c r="E154" s="2023"/>
      <c r="F154" s="2023"/>
      <c r="G154" s="63"/>
      <c r="H154" s="1301"/>
    </row>
    <row r="155" spans="2:8" ht="18">
      <c r="B155" s="1300" t="s">
        <v>379</v>
      </c>
      <c r="C155" s="2004"/>
      <c r="D155" s="2004"/>
      <c r="E155" s="2004"/>
      <c r="F155" s="2004"/>
      <c r="G155" s="58"/>
      <c r="H155" s="1292"/>
    </row>
    <row r="156" spans="2:8" ht="18">
      <c r="B156" s="1297" t="s">
        <v>874</v>
      </c>
      <c r="C156" s="2004"/>
      <c r="D156" s="2004"/>
      <c r="E156" s="2004"/>
      <c r="F156" s="2004"/>
      <c r="G156" s="58">
        <f>+H160</f>
        <v>8664946</v>
      </c>
      <c r="H156" s="1292">
        <f>+GETPIVOTDATA("Sum of Cr. Final 21-22",Pivot!$A$3,"Note",,"BS Main Head","Reserves &amp; Surplus","BS Sub Head","Securities Premium")</f>
        <v>8664946</v>
      </c>
    </row>
    <row r="157" spans="2:8" ht="18">
      <c r="B157" s="1294" t="s">
        <v>875</v>
      </c>
      <c r="C157" s="2004"/>
      <c r="D157" s="2004"/>
      <c r="E157" s="2004"/>
      <c r="F157" s="2004"/>
      <c r="G157" s="62">
        <v>0</v>
      </c>
      <c r="H157" s="1302">
        <v>0</v>
      </c>
    </row>
    <row r="158" spans="2:8" ht="18">
      <c r="B158" s="1294" t="s">
        <v>876</v>
      </c>
      <c r="C158" s="2004"/>
      <c r="D158" s="2004"/>
      <c r="E158" s="2004"/>
      <c r="F158" s="2004"/>
      <c r="G158" s="58">
        <f>+G156+G157</f>
        <v>8664946</v>
      </c>
      <c r="H158" s="1292">
        <f>+H156+H157</f>
        <v>8664946</v>
      </c>
    </row>
    <row r="159" spans="2:8" ht="18">
      <c r="B159" s="1294" t="s">
        <v>3135</v>
      </c>
      <c r="C159" s="2004"/>
      <c r="D159" s="2004"/>
      <c r="E159" s="2004"/>
      <c r="F159" s="2004"/>
      <c r="G159" s="58">
        <v>0</v>
      </c>
      <c r="H159" s="1292">
        <v>0</v>
      </c>
    </row>
    <row r="160" spans="2:8" ht="18">
      <c r="B160" s="1300" t="s">
        <v>533</v>
      </c>
      <c r="C160" s="2004"/>
      <c r="D160" s="2004"/>
      <c r="E160" s="2004"/>
      <c r="F160" s="2004"/>
      <c r="G160" s="1583">
        <f>+G158+G159</f>
        <v>8664946</v>
      </c>
      <c r="H160" s="1813">
        <f>+H158+H159</f>
        <v>8664946</v>
      </c>
    </row>
    <row r="161" spans="2:8" ht="18">
      <c r="B161" s="1300"/>
      <c r="C161" s="2004"/>
      <c r="D161" s="2004"/>
      <c r="E161" s="2004"/>
      <c r="F161" s="2004"/>
      <c r="G161" s="63"/>
      <c r="H161" s="1301"/>
    </row>
    <row r="162" spans="2:8" ht="18">
      <c r="B162" s="1300" t="s">
        <v>195</v>
      </c>
      <c r="C162" s="2004"/>
      <c r="D162" s="2004"/>
      <c r="E162" s="2004"/>
      <c r="F162" s="2004"/>
      <c r="G162" s="58"/>
      <c r="H162" s="1292"/>
    </row>
    <row r="163" spans="2:8" ht="18">
      <c r="B163" s="1297" t="s">
        <v>874</v>
      </c>
      <c r="C163" s="2004"/>
      <c r="D163" s="2004"/>
      <c r="E163" s="2004"/>
      <c r="F163" s="2004"/>
      <c r="G163" s="61">
        <f>+H167</f>
        <v>1800000</v>
      </c>
      <c r="H163" s="1292">
        <f>+GETPIVOTDATA("Sum of Cr. Final 21-22",Pivot!$A$3,"Note",,"BS Main Head","Reserves &amp; Surplus","BS Sub Head","General Reserve")</f>
        <v>1800000</v>
      </c>
    </row>
    <row r="164" spans="2:8" ht="18">
      <c r="B164" s="1294" t="s">
        <v>875</v>
      </c>
      <c r="C164" s="2004"/>
      <c r="D164" s="2004"/>
      <c r="E164" s="2004"/>
      <c r="F164" s="2004"/>
      <c r="G164" s="62">
        <v>0</v>
      </c>
      <c r="H164" s="1302">
        <v>0</v>
      </c>
    </row>
    <row r="165" spans="2:8" ht="18">
      <c r="B165" s="1294" t="s">
        <v>876</v>
      </c>
      <c r="C165" s="2004"/>
      <c r="D165" s="2004"/>
      <c r="E165" s="2004"/>
      <c r="F165" s="2004"/>
      <c r="G165" s="58">
        <f>+G163+G164</f>
        <v>1800000</v>
      </c>
      <c r="H165" s="1292">
        <f>+H163+H164</f>
        <v>1800000</v>
      </c>
    </row>
    <row r="166" spans="2:8" ht="18">
      <c r="B166" s="1294" t="s">
        <v>3135</v>
      </c>
      <c r="C166" s="2004"/>
      <c r="D166" s="2004"/>
      <c r="E166" s="2004"/>
      <c r="F166" s="2004"/>
      <c r="G166" s="58"/>
      <c r="H166" s="1292"/>
    </row>
    <row r="167" spans="2:8" ht="18">
      <c r="B167" s="1294" t="s">
        <v>533</v>
      </c>
      <c r="C167" s="2004"/>
      <c r="D167" s="2004"/>
      <c r="E167" s="2004"/>
      <c r="F167" s="2004"/>
      <c r="G167" s="1583">
        <f>+G165+G166</f>
        <v>1800000</v>
      </c>
      <c r="H167" s="1813">
        <f>+H165+H166</f>
        <v>1800000</v>
      </c>
    </row>
    <row r="168" spans="2:8" ht="18">
      <c r="B168" s="1294"/>
      <c r="C168" s="2004"/>
      <c r="D168" s="2004"/>
      <c r="E168" s="2004"/>
      <c r="F168" s="2004"/>
      <c r="G168" s="63"/>
      <c r="H168" s="1301"/>
    </row>
    <row r="169" spans="2:8" ht="18">
      <c r="B169" s="1300" t="s">
        <v>878</v>
      </c>
      <c r="C169" s="2004"/>
      <c r="D169" s="2004"/>
      <c r="E169" s="2004"/>
      <c r="F169" s="2004"/>
      <c r="G169" s="58"/>
      <c r="H169" s="1292"/>
    </row>
    <row r="170" spans="2:8" ht="18">
      <c r="B170" s="1294" t="s">
        <v>874</v>
      </c>
      <c r="C170" s="2004"/>
      <c r="D170" s="2004"/>
      <c r="E170" s="2004"/>
      <c r="F170" s="2004"/>
      <c r="G170" s="64">
        <f>+H175</f>
        <v>50905004</v>
      </c>
      <c r="H170" s="1301">
        <f>+GETPIVOTDATA("Sum of Cr. Final 21-22",Pivot!$A$3,"PARTICULARS","Revaluation Reserve","Note",12,"BS Main Head","Reserves &amp; Surplus","BS Sub Head","Capital Reserve")</f>
        <v>50905004</v>
      </c>
    </row>
    <row r="171" spans="2:8" ht="18">
      <c r="B171" s="1294" t="s">
        <v>2925</v>
      </c>
      <c r="C171" s="2004"/>
      <c r="D171" s="2004"/>
      <c r="E171" s="2004"/>
      <c r="F171" s="2004"/>
      <c r="G171" s="58">
        <v>0</v>
      </c>
      <c r="H171" s="1292">
        <v>0</v>
      </c>
    </row>
    <row r="172" spans="2:8" ht="18">
      <c r="B172" s="1294" t="s">
        <v>879</v>
      </c>
      <c r="C172" s="2004"/>
      <c r="D172" s="2004"/>
      <c r="E172" s="2004"/>
      <c r="F172" s="2004"/>
      <c r="G172" s="62">
        <v>0</v>
      </c>
      <c r="H172" s="1302">
        <v>0</v>
      </c>
    </row>
    <row r="173" spans="2:8" ht="18">
      <c r="B173" s="1294" t="s">
        <v>876</v>
      </c>
      <c r="C173" s="2004"/>
      <c r="D173" s="2004"/>
      <c r="E173" s="2004"/>
      <c r="F173" s="2004"/>
      <c r="G173" s="63">
        <f>+G170+G171+G172</f>
        <v>50905004</v>
      </c>
      <c r="H173" s="1301">
        <f>+H170+H171+H172</f>
        <v>50905004</v>
      </c>
    </row>
    <row r="174" spans="2:8" ht="18">
      <c r="B174" s="1294" t="s">
        <v>877</v>
      </c>
      <c r="C174" s="2004"/>
      <c r="D174" s="2004"/>
      <c r="E174" s="2004"/>
      <c r="F174" s="2004"/>
      <c r="G174" s="58">
        <v>0</v>
      </c>
      <c r="H174" s="1292">
        <v>0</v>
      </c>
    </row>
    <row r="175" spans="2:8" ht="18">
      <c r="B175" s="1294" t="s">
        <v>533</v>
      </c>
      <c r="C175" s="2004"/>
      <c r="D175" s="2004"/>
      <c r="E175" s="2004"/>
      <c r="F175" s="2004"/>
      <c r="G175" s="1583">
        <f>+G173+G174</f>
        <v>50905004</v>
      </c>
      <c r="H175" s="1813">
        <f>+H173+H174</f>
        <v>50905004</v>
      </c>
    </row>
    <row r="176" spans="2:8" ht="18">
      <c r="B176" s="1294"/>
      <c r="C176" s="2004"/>
      <c r="D176" s="2004"/>
      <c r="E176" s="2004"/>
      <c r="F176" s="2004"/>
      <c r="G176" s="63"/>
      <c r="H176" s="1301"/>
    </row>
    <row r="177" spans="2:8" ht="18">
      <c r="B177" s="1300" t="s">
        <v>880</v>
      </c>
      <c r="C177" s="2004"/>
      <c r="D177" s="2004"/>
      <c r="E177" s="2004"/>
      <c r="F177" s="2004"/>
      <c r="G177" s="58"/>
      <c r="H177" s="1292"/>
    </row>
    <row r="178" spans="2:8" ht="18">
      <c r="B178" s="1297" t="s">
        <v>874</v>
      </c>
      <c r="C178" s="2004"/>
      <c r="D178" s="2004"/>
      <c r="E178" s="2004"/>
      <c r="F178" s="2004"/>
      <c r="G178" s="58">
        <f>+H190</f>
        <v>164517557.99054614</v>
      </c>
      <c r="H178" s="1292">
        <v>159588194</v>
      </c>
    </row>
    <row r="179" spans="2:8" ht="18">
      <c r="B179" s="1294" t="s">
        <v>875</v>
      </c>
      <c r="C179" s="2004"/>
      <c r="D179" s="2004"/>
      <c r="E179" s="2004"/>
      <c r="F179" s="2004"/>
      <c r="G179" s="58">
        <v>0</v>
      </c>
      <c r="H179" s="1292">
        <v>0</v>
      </c>
    </row>
    <row r="180" spans="2:8" ht="18">
      <c r="B180" s="1294" t="s">
        <v>881</v>
      </c>
      <c r="C180" s="2004"/>
      <c r="D180" s="2004"/>
      <c r="E180" s="2004"/>
      <c r="F180" s="2004"/>
      <c r="G180" s="58">
        <v>0</v>
      </c>
      <c r="H180" s="1292">
        <v>0</v>
      </c>
    </row>
    <row r="181" spans="2:8" ht="18">
      <c r="B181" s="1294" t="s">
        <v>876</v>
      </c>
      <c r="C181" s="2004"/>
      <c r="D181" s="2004"/>
      <c r="E181" s="2004"/>
      <c r="F181" s="2004"/>
      <c r="G181" s="1298">
        <f>+G178+G179+G180</f>
        <v>164517557.99054614</v>
      </c>
      <c r="H181" s="1299">
        <f>+H178+H179+H180</f>
        <v>159588194</v>
      </c>
    </row>
    <row r="182" spans="2:8" ht="18">
      <c r="B182" s="1294" t="s">
        <v>882</v>
      </c>
      <c r="C182" s="2004"/>
      <c r="D182" s="2004"/>
      <c r="E182" s="2004"/>
      <c r="F182" s="2004"/>
      <c r="G182" s="58">
        <f>+G99</f>
        <v>-37729675.915287264</v>
      </c>
      <c r="H182" s="1292">
        <f>+H99</f>
        <v>3825288.9905461473</v>
      </c>
    </row>
    <row r="183" spans="2:8" ht="18">
      <c r="B183" s="1294" t="s">
        <v>883</v>
      </c>
      <c r="C183" s="2004"/>
      <c r="D183" s="2004"/>
      <c r="E183" s="2004"/>
      <c r="F183" s="2004"/>
      <c r="G183" s="62">
        <f>+G106</f>
        <v>453421</v>
      </c>
      <c r="H183" s="1302">
        <f>+H106</f>
        <v>1104075</v>
      </c>
    </row>
    <row r="184" spans="2:8" ht="18">
      <c r="B184" s="1294" t="s">
        <v>884</v>
      </c>
      <c r="C184" s="2004"/>
      <c r="D184" s="2004"/>
      <c r="E184" s="2004"/>
      <c r="F184" s="2004"/>
      <c r="G184" s="58">
        <f>+G182+G183</f>
        <v>-37276254.915287264</v>
      </c>
      <c r="H184" s="1292">
        <f>+H182+H183</f>
        <v>4929363.9905461473</v>
      </c>
    </row>
    <row r="185" spans="2:8" ht="18">
      <c r="B185" s="1300" t="s">
        <v>885</v>
      </c>
      <c r="C185" s="2004"/>
      <c r="D185" s="2004"/>
      <c r="E185" s="2004"/>
      <c r="F185" s="2004"/>
      <c r="G185" s="58"/>
      <c r="H185" s="1292"/>
    </row>
    <row r="186" spans="2:8" ht="18">
      <c r="B186" s="1294" t="s">
        <v>886</v>
      </c>
      <c r="C186" s="2004"/>
      <c r="D186" s="2004"/>
      <c r="E186" s="2004"/>
      <c r="F186" s="2004"/>
      <c r="G186" s="58">
        <v>0</v>
      </c>
      <c r="H186" s="1292">
        <v>0</v>
      </c>
    </row>
    <row r="187" spans="2:8" ht="18">
      <c r="B187" s="1294" t="s">
        <v>887</v>
      </c>
      <c r="C187" s="2004"/>
      <c r="D187" s="2004"/>
      <c r="E187" s="2004"/>
      <c r="F187" s="2004"/>
      <c r="G187" s="58">
        <v>0</v>
      </c>
      <c r="H187" s="1292">
        <v>0</v>
      </c>
    </row>
    <row r="188" spans="2:8" ht="18">
      <c r="B188" s="1294" t="s">
        <v>888</v>
      </c>
      <c r="C188" s="2004"/>
      <c r="D188" s="2004"/>
      <c r="E188" s="2004"/>
      <c r="F188" s="2004"/>
      <c r="G188" s="58">
        <v>0</v>
      </c>
      <c r="H188" s="1292">
        <v>0</v>
      </c>
    </row>
    <row r="189" spans="2:8" ht="18">
      <c r="B189" s="1294" t="s">
        <v>3135</v>
      </c>
      <c r="C189" s="2004"/>
      <c r="D189" s="2004"/>
      <c r="E189" s="2004"/>
      <c r="F189" s="2004"/>
      <c r="G189" s="58">
        <v>0</v>
      </c>
      <c r="H189" s="1292">
        <v>0</v>
      </c>
    </row>
    <row r="190" spans="2:8" ht="18">
      <c r="B190" s="1294" t="s">
        <v>533</v>
      </c>
      <c r="C190" s="2004"/>
      <c r="D190" s="2004"/>
      <c r="E190" s="2004"/>
      <c r="F190" s="2004"/>
      <c r="G190" s="1814">
        <f>+G181+G184-SUM(G187:G189)</f>
        <v>127241303.07525888</v>
      </c>
      <c r="H190" s="1815">
        <f>+H181+H184-SUM(H187:H189)</f>
        <v>164517557.99054614</v>
      </c>
    </row>
    <row r="191" spans="2:8" ht="18">
      <c r="B191" s="1303"/>
      <c r="C191" s="65"/>
      <c r="D191" s="65"/>
      <c r="E191" s="65"/>
      <c r="F191" s="65"/>
      <c r="G191" s="1583">
        <f>G190+G167+G160+G153+G175</f>
        <v>209025242.07525888</v>
      </c>
      <c r="H191" s="1813">
        <f>H190+H167+H160+H153+H175</f>
        <v>246301496.99054614</v>
      </c>
    </row>
    <row r="192" spans="2:8" ht="18">
      <c r="B192" s="1304"/>
      <c r="C192" s="1305"/>
      <c r="D192" s="1305"/>
      <c r="E192" s="1305"/>
      <c r="F192" s="1305"/>
      <c r="G192" s="1306"/>
      <c r="H192" s="1307"/>
    </row>
    <row r="193" spans="2:8" ht="18">
      <c r="B193" s="1283" t="s">
        <v>822</v>
      </c>
      <c r="C193" s="2024"/>
      <c r="D193" s="2024"/>
      <c r="E193" s="2024"/>
      <c r="F193" s="2024"/>
      <c r="G193" s="66"/>
      <c r="H193" s="1308"/>
    </row>
    <row r="194" spans="2:8" ht="18">
      <c r="B194" s="1222" t="str">
        <f>+B116</f>
        <v>As per our report of even date</v>
      </c>
      <c r="C194" s="1223"/>
      <c r="D194" s="1223"/>
      <c r="E194" s="1223"/>
      <c r="F194" s="1959" t="s">
        <v>824</v>
      </c>
      <c r="G194" s="31"/>
      <c r="H194" s="1265"/>
    </row>
    <row r="195" spans="2:8" ht="18">
      <c r="B195" s="1225" t="str">
        <f>+B118</f>
        <v>FOR DARAK AND ASSOCIATES</v>
      </c>
      <c r="C195" s="1999"/>
      <c r="D195" s="1999"/>
      <c r="E195" s="1999"/>
      <c r="F195" s="1959"/>
      <c r="G195" s="31"/>
      <c r="H195" s="1265"/>
    </row>
    <row r="196" spans="2:8" ht="18">
      <c r="B196" s="1225" t="str">
        <f t="shared" ref="B196:B207" si="3">+B119</f>
        <v>CHARTERED ACCOUNTANTS</v>
      </c>
      <c r="C196" s="1999"/>
      <c r="D196" s="1999"/>
      <c r="E196" s="1999"/>
      <c r="F196" s="1959"/>
      <c r="G196" s="31"/>
      <c r="H196" s="1265"/>
    </row>
    <row r="197" spans="2:8" ht="18">
      <c r="B197" s="1225" t="str">
        <f t="shared" si="3"/>
        <v>FIRM REGISTRATION NO.: 132818W</v>
      </c>
      <c r="C197" s="1226"/>
      <c r="D197" s="1226"/>
      <c r="E197" s="1226"/>
      <c r="F197" s="1958" t="str">
        <f>+F118</f>
        <v>ANIL KUMAR LAKHOTIYA - MANAGING  DIRECTOR</v>
      </c>
      <c r="G197" s="31"/>
      <c r="H197" s="1265"/>
    </row>
    <row r="198" spans="2:8" ht="18">
      <c r="B198" s="1225"/>
      <c r="C198" s="1226"/>
      <c r="D198" s="1226"/>
      <c r="E198" s="1226"/>
      <c r="F198" s="1959" t="str">
        <f>+F119</f>
        <v>(DIN:00367361)</v>
      </c>
      <c r="G198" s="31"/>
      <c r="H198" s="1265"/>
    </row>
    <row r="199" spans="2:8" ht="18">
      <c r="B199" s="1225"/>
      <c r="C199" s="1999"/>
      <c r="D199" s="1999"/>
      <c r="E199" s="1999"/>
      <c r="F199" s="2002"/>
      <c r="G199" s="33"/>
      <c r="H199" s="1266"/>
    </row>
    <row r="200" spans="2:8" ht="18">
      <c r="B200" s="1225"/>
      <c r="C200" s="1999"/>
      <c r="D200" s="1999"/>
      <c r="E200" s="1999"/>
      <c r="F200" s="1999"/>
      <c r="G200" s="31"/>
      <c r="H200" s="1265"/>
    </row>
    <row r="201" spans="2:8" ht="18">
      <c r="B201" s="1225" t="str">
        <f t="shared" si="3"/>
        <v>SUMIT M. DARAK</v>
      </c>
      <c r="C201" s="1999"/>
      <c r="D201" s="1999"/>
      <c r="E201" s="1999"/>
      <c r="F201" s="1226" t="str">
        <f>+F122</f>
        <v>KAILASH AGARWAL - WHOLE TIME DIRECTOR</v>
      </c>
      <c r="G201" s="31"/>
      <c r="H201" s="1265"/>
    </row>
    <row r="202" spans="2:8" ht="18">
      <c r="B202" s="1225" t="str">
        <f t="shared" si="3"/>
        <v>PARTNER</v>
      </c>
      <c r="C202" s="1226"/>
      <c r="D202" s="1226"/>
      <c r="E202" s="1226"/>
      <c r="F202" s="1999" t="str">
        <f>+F123</f>
        <v>(DIN:00367292)</v>
      </c>
      <c r="G202" s="31"/>
      <c r="H202" s="1265"/>
    </row>
    <row r="203" spans="2:8" ht="18">
      <c r="B203" s="1225" t="str">
        <f t="shared" si="3"/>
        <v>MEMBERSHIP NO. : 141902</v>
      </c>
      <c r="C203" s="34"/>
      <c r="D203" s="34"/>
      <c r="E203" s="34"/>
      <c r="F203" s="2002"/>
      <c r="G203" s="33"/>
      <c r="H203" s="1266"/>
    </row>
    <row r="204" spans="2:8" ht="18">
      <c r="B204" s="1225"/>
      <c r="C204" s="35"/>
      <c r="D204" s="35"/>
      <c r="E204" s="35"/>
      <c r="F204" s="1999"/>
      <c r="G204" s="31"/>
      <c r="H204" s="1265"/>
    </row>
    <row r="205" spans="2:8" ht="18">
      <c r="B205" s="1229" t="str">
        <f t="shared" si="3"/>
        <v>Place: Nagpur</v>
      </c>
      <c r="C205" s="35"/>
      <c r="D205" s="35"/>
      <c r="E205" s="35"/>
      <c r="F205" s="2193" t="str">
        <f>+F126</f>
        <v>JARNAIL SINGH SAINI - CHIEF FINANCIAL OFFICER &amp; EXECUTIVE DIRECTOR</v>
      </c>
      <c r="G205" s="2193"/>
      <c r="H205" s="2194"/>
    </row>
    <row r="206" spans="2:8" ht="18">
      <c r="B206" s="1229" t="str">
        <f t="shared" si="3"/>
        <v>Date: 27/05/2023</v>
      </c>
      <c r="C206" s="35"/>
      <c r="D206" s="35"/>
      <c r="E206" s="35"/>
      <c r="F206" s="2201" t="str">
        <f>+F127</f>
        <v>(DIN:00367656)</v>
      </c>
      <c r="G206" s="2201"/>
      <c r="H206" s="2202"/>
    </row>
    <row r="207" spans="2:8" ht="18">
      <c r="B207" s="1225" t="str">
        <f t="shared" si="3"/>
        <v>UDIN: 23141902BGXWON4071</v>
      </c>
      <c r="C207" s="1999"/>
      <c r="D207" s="1999"/>
      <c r="E207" s="1999"/>
      <c r="F207" s="1999"/>
      <c r="G207" s="31"/>
      <c r="H207" s="1265"/>
    </row>
    <row r="208" spans="2:8" ht="18">
      <c r="B208" s="1225"/>
      <c r="C208" s="1999"/>
      <c r="D208" s="1999"/>
      <c r="E208" s="1999"/>
      <c r="F208" s="1999"/>
      <c r="G208" s="31"/>
      <c r="H208" s="1265"/>
    </row>
    <row r="209" spans="2:8" ht="18">
      <c r="B209" s="1229"/>
      <c r="C209" s="1999"/>
      <c r="D209" s="1999"/>
      <c r="E209" s="1999"/>
      <c r="F209" s="1226" t="str">
        <f>+F130</f>
        <v>OMPRAKASH RATHI - WHOLE TIME DIRECTOR</v>
      </c>
      <c r="G209" s="31"/>
      <c r="H209" s="1265"/>
    </row>
    <row r="210" spans="2:8" ht="18">
      <c r="B210" s="1229"/>
      <c r="C210" s="1999"/>
      <c r="D210" s="1999"/>
      <c r="E210" s="1999"/>
      <c r="F210" s="1999" t="str">
        <f>+F131</f>
        <v>(DIN:00895316)</v>
      </c>
      <c r="G210" s="33"/>
      <c r="H210" s="1266"/>
    </row>
    <row r="211" spans="2:8" ht="18">
      <c r="B211" s="1229"/>
      <c r="C211" s="1999"/>
      <c r="D211" s="1999"/>
      <c r="E211" s="1999"/>
      <c r="F211" s="1999"/>
      <c r="G211" s="31"/>
      <c r="H211" s="1265"/>
    </row>
    <row r="212" spans="2:8" ht="18">
      <c r="B212" s="1229"/>
      <c r="C212" s="1999"/>
      <c r="D212" s="1999"/>
      <c r="E212" s="1999"/>
      <c r="F212" s="1999"/>
      <c r="G212" s="31"/>
      <c r="H212" s="1265"/>
    </row>
    <row r="213" spans="2:8" ht="18">
      <c r="B213" s="1229"/>
      <c r="C213" s="1999"/>
      <c r="D213" s="1999"/>
      <c r="E213" s="1999"/>
      <c r="F213" s="1226" t="str">
        <f>+F134</f>
        <v>MAYANK LUNIYA - COMPANY SECRETARY</v>
      </c>
      <c r="G213" s="31"/>
      <c r="H213" s="1265"/>
    </row>
    <row r="214" spans="2:8" ht="18">
      <c r="B214" s="1229"/>
      <c r="C214" s="1999"/>
      <c r="D214" s="1999"/>
      <c r="E214" s="1999"/>
      <c r="F214" s="2002"/>
      <c r="G214" s="33"/>
      <c r="H214" s="1266"/>
    </row>
    <row r="215" spans="2:8" ht="18">
      <c r="B215" s="1229"/>
      <c r="C215" s="1999"/>
      <c r="D215" s="1999"/>
      <c r="E215" s="1999"/>
      <c r="F215" s="1999" t="str">
        <f>+F136</f>
        <v>Place: Nagpur</v>
      </c>
      <c r="G215" s="31"/>
      <c r="H215" s="1265"/>
    </row>
    <row r="216" spans="2:8" ht="18.600000000000001" thickBot="1">
      <c r="B216" s="1440"/>
      <c r="C216" s="1441"/>
      <c r="D216" s="1441"/>
      <c r="E216" s="1441"/>
      <c r="F216" s="1441" t="str">
        <f>+F137</f>
        <v>Date: 27/05/2023</v>
      </c>
      <c r="G216" s="1438"/>
      <c r="H216" s="1439"/>
    </row>
    <row r="217" spans="2:8" ht="18">
      <c r="B217" s="2206" t="s">
        <v>785</v>
      </c>
      <c r="C217" s="2207"/>
      <c r="D217" s="2207"/>
      <c r="E217" s="2207"/>
      <c r="F217" s="2207"/>
      <c r="G217" s="2207"/>
      <c r="H217" s="2208"/>
    </row>
    <row r="218" spans="2:8" ht="18">
      <c r="B218" s="2105" t="s">
        <v>2241</v>
      </c>
      <c r="C218" s="2106"/>
      <c r="D218" s="2106"/>
      <c r="E218" s="2106"/>
      <c r="F218" s="2106"/>
      <c r="G218" s="2106"/>
      <c r="H218" s="2107"/>
    </row>
    <row r="219" spans="2:8" ht="18">
      <c r="B219" s="1287" t="s">
        <v>0</v>
      </c>
      <c r="C219" s="1288"/>
      <c r="D219" s="1288"/>
      <c r="E219" s="1288"/>
      <c r="F219" s="1289"/>
      <c r="G219" s="1237" t="s">
        <v>788</v>
      </c>
      <c r="H219" s="1238" t="s">
        <v>788</v>
      </c>
    </row>
    <row r="220" spans="2:8" ht="18">
      <c r="B220" s="1269"/>
      <c r="C220" s="55"/>
      <c r="D220" s="55"/>
      <c r="E220" s="55"/>
      <c r="F220" s="56"/>
      <c r="G220" s="41" t="str">
        <f>+G5</f>
        <v>March 31, 2023 (₹)</v>
      </c>
      <c r="H220" s="1272" t="str">
        <f>+H5</f>
        <v>March 31, 2022 (₹)</v>
      </c>
    </row>
    <row r="221" spans="2:8" ht="18">
      <c r="B221" s="1297"/>
      <c r="C221" s="34"/>
      <c r="D221" s="34"/>
      <c r="E221" s="34"/>
      <c r="F221" s="1958"/>
      <c r="G221" s="67"/>
      <c r="H221" s="1309"/>
    </row>
    <row r="222" spans="2:8" ht="18">
      <c r="B222" s="1310" t="s">
        <v>889</v>
      </c>
      <c r="C222" s="68"/>
      <c r="D222" s="68"/>
      <c r="E222" s="68"/>
      <c r="F222" s="1959"/>
      <c r="G222" s="59"/>
      <c r="H222" s="1293"/>
    </row>
    <row r="223" spans="2:8" ht="18">
      <c r="B223" s="1311" t="s">
        <v>890</v>
      </c>
      <c r="C223" s="68"/>
      <c r="D223" s="68"/>
      <c r="E223" s="68"/>
      <c r="F223" s="1959"/>
      <c r="G223" s="59"/>
      <c r="H223" s="1293"/>
    </row>
    <row r="224" spans="2:8" ht="18">
      <c r="B224" s="2170" t="s">
        <v>891</v>
      </c>
      <c r="C224" s="2171"/>
      <c r="D224" s="2171"/>
      <c r="E224" s="2171"/>
      <c r="F224" s="2171"/>
      <c r="G224" s="69"/>
      <c r="H224" s="1312"/>
    </row>
    <row r="225" spans="2:8" ht="18">
      <c r="B225" s="2229" t="s">
        <v>892</v>
      </c>
      <c r="C225" s="2230"/>
      <c r="D225" s="2230"/>
      <c r="E225" s="2230"/>
      <c r="F225" s="2230"/>
      <c r="G225" s="70">
        <f>+GETPIVOTDATA("Sum of Dr. Final 22-23",Pivot!$A$3,"Note",3,"BS Main Head","Other Financial Assets - Non Current","BS Sub Head","Balance with Bank in Deposit Accounts")</f>
        <v>3469626</v>
      </c>
      <c r="H225" s="1313">
        <f>+GETPIVOTDATA("Sum of Dr. Final 21-22",Pivot!$A$3,"Note",3,"BS Main Head","Other Financial Assets - Non Current","BS Sub Head","Balance with Bank in Deposit Accounts")</f>
        <v>2383478.61</v>
      </c>
    </row>
    <row r="226" spans="2:8" ht="18">
      <c r="B226" s="1229"/>
      <c r="C226" s="1999"/>
      <c r="D226" s="1999"/>
      <c r="E226" s="1999"/>
      <c r="F226" s="1999"/>
      <c r="G226" s="71"/>
      <c r="H226" s="1293"/>
    </row>
    <row r="227" spans="2:8" ht="18.600000000000001" thickBot="1">
      <c r="B227" s="1297"/>
      <c r="C227" s="34"/>
      <c r="D227" s="34"/>
      <c r="E227" s="34"/>
      <c r="F227" s="1959"/>
      <c r="G227" s="72">
        <f>+SUM(G224:G226)</f>
        <v>3469626</v>
      </c>
      <c r="H227" s="1314">
        <f>+SUM(H224:H226)</f>
        <v>2383478.61</v>
      </c>
    </row>
    <row r="228" spans="2:8" ht="18.600000000000001" thickTop="1">
      <c r="B228" s="1315"/>
      <c r="C228" s="73"/>
      <c r="D228" s="73"/>
      <c r="E228" s="73"/>
      <c r="F228" s="1959"/>
      <c r="G228" s="71"/>
      <c r="H228" s="1293"/>
    </row>
    <row r="229" spans="2:8" ht="18">
      <c r="B229" s="1310" t="s">
        <v>893</v>
      </c>
      <c r="C229" s="68"/>
      <c r="D229" s="68"/>
      <c r="E229" s="68"/>
      <c r="F229" s="1959"/>
      <c r="G229" s="71"/>
      <c r="H229" s="1293"/>
    </row>
    <row r="230" spans="2:8" ht="18">
      <c r="B230" s="1311" t="s">
        <v>890</v>
      </c>
      <c r="C230" s="68"/>
      <c r="D230" s="68"/>
      <c r="E230" s="68"/>
      <c r="F230" s="1959"/>
      <c r="G230" s="71"/>
      <c r="H230" s="1293"/>
    </row>
    <row r="231" spans="2:8" ht="18">
      <c r="B231" s="1316" t="s">
        <v>894</v>
      </c>
      <c r="C231" s="2024"/>
      <c r="D231" s="2024"/>
      <c r="E231" s="2024"/>
      <c r="F231" s="2025"/>
      <c r="G231" s="74">
        <f>+GETPIVOTDATA("Sum of Dr. Final 22-23",Pivot!$A$3,"Note",4,"BS Main Head","Other Non Current Assets","BS Sub Head","Advance For Capital Goods")</f>
        <v>227000</v>
      </c>
      <c r="H231" s="1313">
        <f>+GETPIVOTDATA("Sum of Dr. Final 21-22",Pivot!$A$3,"Note",4,"BS Main Head","Other Non Current Assets","BS Sub Head","Advance For Capital Goods")</f>
        <v>13793930</v>
      </c>
    </row>
    <row r="232" spans="2:8" ht="18">
      <c r="B232" s="1316" t="s">
        <v>129</v>
      </c>
      <c r="C232" s="2024"/>
      <c r="D232" s="2024"/>
      <c r="E232" s="2024"/>
      <c r="F232" s="2025"/>
      <c r="G232" s="74">
        <f>+GETPIVOTDATA("Sum of Dr. Final 22-23",Pivot!$A$3,"Note",4,"BS Main Head","Other Non Current Assets","BS Sub Head","Long Term Deposits")</f>
        <v>5143597</v>
      </c>
      <c r="H232" s="1313">
        <f>+GETPIVOTDATA("Sum of Dr. Final 21-22",Pivot!$A$3,"Note",4,"BS Main Head","Other Non Current Assets","BS Sub Head","Long Term Deposits")</f>
        <v>589677</v>
      </c>
    </row>
    <row r="233" spans="2:8" ht="18">
      <c r="B233" s="1297" t="s">
        <v>122</v>
      </c>
      <c r="C233" s="34"/>
      <c r="D233" s="34"/>
      <c r="E233" s="34"/>
      <c r="F233" s="75"/>
      <c r="G233" s="74">
        <f>+GETPIVOTDATA("Sum of Dr. Final 22-23",Pivot!$A$3,"Note",4,"BS Main Head","Other Non Current Assets","BS Sub Head","Balance with Government Authorities")-G283</f>
        <v>10639075</v>
      </c>
      <c r="H233" s="1313">
        <f>+GETPIVOTDATA("Sum of Dr. Final 21-22",Pivot!$A$3,"Note",4,"BS Main Head","Other Non Current Assets","BS Sub Head","Balance with Government Authorities")-H283</f>
        <v>8849441</v>
      </c>
    </row>
    <row r="234" spans="2:8" ht="18">
      <c r="B234" s="1297"/>
      <c r="C234" s="34"/>
      <c r="D234" s="34"/>
      <c r="E234" s="34"/>
      <c r="F234" s="1959"/>
      <c r="G234" s="1548">
        <f>+SUM(G231:G233)</f>
        <v>16009672</v>
      </c>
      <c r="H234" s="1791">
        <f>+SUM(H231:H233)</f>
        <v>23233048</v>
      </c>
    </row>
    <row r="235" spans="2:8" ht="18">
      <c r="B235" s="1310" t="s">
        <v>895</v>
      </c>
      <c r="C235" s="68"/>
      <c r="D235" s="68"/>
      <c r="E235" s="68"/>
      <c r="F235" s="1959"/>
      <c r="G235" s="71"/>
      <c r="H235" s="1293"/>
    </row>
    <row r="236" spans="2:8" ht="18">
      <c r="B236" s="1317" t="s">
        <v>896</v>
      </c>
      <c r="C236" s="68"/>
      <c r="D236" s="68"/>
      <c r="E236" s="68"/>
      <c r="F236" s="1959"/>
      <c r="G236" s="71"/>
      <c r="H236" s="1293"/>
    </row>
    <row r="237" spans="2:8" ht="18">
      <c r="B237" s="1318" t="s">
        <v>897</v>
      </c>
      <c r="C237" s="2026"/>
      <c r="D237" s="2026"/>
      <c r="E237" s="2026"/>
      <c r="F237" s="1959"/>
      <c r="G237" s="59">
        <f>+G483</f>
        <v>34550732.8336384</v>
      </c>
      <c r="H237" s="1293">
        <f>+H483</f>
        <v>23499723</v>
      </c>
    </row>
    <row r="238" spans="2:8" ht="18">
      <c r="B238" s="1297" t="s">
        <v>898</v>
      </c>
      <c r="C238" s="2026"/>
      <c r="D238" s="2026"/>
      <c r="E238" s="2026"/>
      <c r="F238" s="1959"/>
      <c r="G238" s="71">
        <f>+'CLOSING STOCK 22-23'!P25+'CLOSING STOCK 22-23'!P29+'CLOSING STOCK 22-23'!P31+'CLOSING STOCK 22-23'!P37</f>
        <v>11646721</v>
      </c>
      <c r="H238" s="1293">
        <f>1342056+656155+8287041+720000</f>
        <v>11005252</v>
      </c>
    </row>
    <row r="239" spans="2:8" ht="18">
      <c r="B239" s="1318" t="s">
        <v>899</v>
      </c>
      <c r="C239" s="2026"/>
      <c r="D239" s="2026"/>
      <c r="E239" s="2026"/>
      <c r="F239" s="1959"/>
      <c r="G239" s="59">
        <f>+G487</f>
        <v>16465227</v>
      </c>
      <c r="H239" s="1293">
        <v>17088292</v>
      </c>
    </row>
    <row r="240" spans="2:8" ht="18">
      <c r="B240" s="1318" t="s">
        <v>900</v>
      </c>
      <c r="C240" s="2026"/>
      <c r="D240" s="2026"/>
      <c r="E240" s="2026"/>
      <c r="F240" s="2026"/>
      <c r="G240" s="76"/>
      <c r="H240" s="1319"/>
    </row>
    <row r="241" spans="2:9" ht="18.600000000000001" thickBot="1">
      <c r="B241" s="1318"/>
      <c r="C241" s="2026"/>
      <c r="D241" s="2026"/>
      <c r="E241" s="2026"/>
      <c r="F241" s="2026"/>
      <c r="G241" s="72">
        <f>+SUM(G237:G239)</f>
        <v>62662680.8336384</v>
      </c>
      <c r="H241" s="1314">
        <f>+SUM(H237:H239)</f>
        <v>51593267</v>
      </c>
    </row>
    <row r="242" spans="2:9" ht="18.600000000000001" thickTop="1">
      <c r="B242" s="1310" t="s">
        <v>901</v>
      </c>
      <c r="C242" s="68"/>
      <c r="D242" s="68"/>
      <c r="E242" s="68"/>
      <c r="F242" s="1959"/>
      <c r="G242" s="71"/>
      <c r="H242" s="1293"/>
    </row>
    <row r="243" spans="2:9" ht="18">
      <c r="B243" s="1283" t="s">
        <v>890</v>
      </c>
      <c r="C243" s="2027"/>
      <c r="D243" s="2027"/>
      <c r="E243" s="2027"/>
      <c r="F243" s="1959"/>
      <c r="G243" s="71"/>
      <c r="H243" s="1293"/>
    </row>
    <row r="244" spans="2:9" ht="18">
      <c r="B244" s="1318" t="s">
        <v>902</v>
      </c>
      <c r="C244" s="2026"/>
      <c r="D244" s="2026"/>
      <c r="E244" s="2026"/>
      <c r="F244" s="1959"/>
      <c r="G244" s="71"/>
      <c r="H244" s="1293"/>
    </row>
    <row r="245" spans="2:9" ht="18">
      <c r="B245" s="1318" t="s">
        <v>903</v>
      </c>
      <c r="C245" s="2026"/>
      <c r="D245" s="2026"/>
      <c r="E245" s="2026"/>
      <c r="F245" s="1959"/>
      <c r="G245" s="21">
        <f>+G867+G868</f>
        <v>11204873</v>
      </c>
      <c r="H245" s="1248">
        <f>+H867+H868</f>
        <v>9482492</v>
      </c>
    </row>
    <row r="246" spans="2:9" ht="18">
      <c r="B246" s="1318" t="s">
        <v>904</v>
      </c>
      <c r="C246" s="2026"/>
      <c r="D246" s="2026"/>
      <c r="E246" s="2026"/>
      <c r="F246" s="1959"/>
      <c r="G246" s="71">
        <f>+GETPIVOTDATA("Sum of Dr. Final 22-23",Pivot!$A$3,"Note",6,"BS Main Head","Financial Assets")-GETPIVOTDATA("Sum of Cr. Final 22-23",Pivot!$A$3,"Note",6,"BS Main Head","Financial Assets")-G245</f>
        <v>104597369.14</v>
      </c>
      <c r="H246" s="1293">
        <f>+GETPIVOTDATA("Sum of Dr. Final 21-22",Pivot!$A$3,"Note",6,"BS Main Head","Financial Assets")-GETPIVOTDATA("Sum of Cr. Final 21-22",Pivot!$A$3,"Note",6,"BS Main Head","Financial Assets")-H245</f>
        <v>157072254.43000001</v>
      </c>
    </row>
    <row r="247" spans="2:9" ht="18">
      <c r="B247" s="1318"/>
      <c r="C247" s="2026"/>
      <c r="D247" s="2026"/>
      <c r="E247" s="2026"/>
      <c r="F247" s="1959"/>
      <c r="G247" s="1548">
        <f>+SUM(G245:G246)</f>
        <v>115802242.14</v>
      </c>
      <c r="H247" s="1791">
        <f>+SUM(H245:H246)</f>
        <v>166554746.43000001</v>
      </c>
    </row>
    <row r="248" spans="2:9" ht="18">
      <c r="B248" s="1318"/>
      <c r="C248" s="2026"/>
      <c r="D248" s="2026"/>
      <c r="E248" s="2026"/>
      <c r="F248" s="1959"/>
      <c r="G248" s="77"/>
      <c r="H248" s="1251"/>
    </row>
    <row r="249" spans="2:9" ht="18">
      <c r="B249" s="1320" t="s">
        <v>905</v>
      </c>
      <c r="C249" s="2026"/>
      <c r="D249" s="2026"/>
      <c r="E249" s="2026"/>
      <c r="F249" s="1959"/>
      <c r="G249" s="77"/>
      <c r="H249" s="1251"/>
    </row>
    <row r="250" spans="2:9" ht="36.75" customHeight="1">
      <c r="B250" s="2175" t="s">
        <v>532</v>
      </c>
      <c r="C250" s="2231" t="s">
        <v>906</v>
      </c>
      <c r="D250" s="2232"/>
      <c r="E250" s="2232"/>
      <c r="F250" s="2232"/>
      <c r="G250" s="2232"/>
      <c r="H250" s="2233"/>
    </row>
    <row r="251" spans="2:9" ht="18">
      <c r="B251" s="2175"/>
      <c r="C251" s="2234" t="s">
        <v>907</v>
      </c>
      <c r="D251" s="2235"/>
      <c r="E251" s="1550" t="s">
        <v>908</v>
      </c>
      <c r="F251" s="1548" t="s">
        <v>909</v>
      </c>
      <c r="G251" s="1548" t="s">
        <v>910</v>
      </c>
      <c r="H251" s="1791" t="s">
        <v>910</v>
      </c>
    </row>
    <row r="252" spans="2:9" ht="36">
      <c r="B252" s="1816" t="s">
        <v>912</v>
      </c>
      <c r="C252" s="2236">
        <f>+'Debtor''s Ageing'!J508+'Debtor''s Ageing'!K508+'Debtor''s Ageing'!N433+'Debtor''s Ageing'!N135</f>
        <v>115570928</v>
      </c>
      <c r="D252" s="2237"/>
      <c r="E252" s="1551">
        <f>+'Debtor''s Ageing'!N154+'Debtor''s Ageing'!N155</f>
        <v>231314</v>
      </c>
      <c r="F252" s="1551">
        <v>0</v>
      </c>
      <c r="G252" s="1551">
        <v>0</v>
      </c>
      <c r="H252" s="1817">
        <v>0</v>
      </c>
      <c r="I252" s="767">
        <f>+C252+E252-G247</f>
        <v>-0.14000000059604645</v>
      </c>
    </row>
    <row r="253" spans="2:9" ht="36">
      <c r="B253" s="1816" t="s">
        <v>913</v>
      </c>
      <c r="C253" s="2236">
        <v>0</v>
      </c>
      <c r="D253" s="2237"/>
      <c r="E253" s="1551">
        <v>0</v>
      </c>
      <c r="F253" s="1551">
        <v>0</v>
      </c>
      <c r="G253" s="1551">
        <v>0</v>
      </c>
      <c r="H253" s="1817">
        <v>0</v>
      </c>
    </row>
    <row r="254" spans="2:9" ht="36">
      <c r="B254" s="1816" t="s">
        <v>914</v>
      </c>
      <c r="C254" s="2236">
        <v>0</v>
      </c>
      <c r="D254" s="2237"/>
      <c r="E254" s="1551">
        <v>0</v>
      </c>
      <c r="F254" s="1551">
        <v>0</v>
      </c>
      <c r="G254" s="1551">
        <v>0</v>
      </c>
      <c r="H254" s="1817">
        <v>0</v>
      </c>
    </row>
    <row r="255" spans="2:9" ht="36">
      <c r="B255" s="1816" t="s">
        <v>915</v>
      </c>
      <c r="C255" s="2236">
        <v>0</v>
      </c>
      <c r="D255" s="2237"/>
      <c r="E255" s="1551">
        <v>0</v>
      </c>
      <c r="F255" s="1551">
        <v>0</v>
      </c>
      <c r="G255" s="1551">
        <v>0</v>
      </c>
      <c r="H255" s="1817">
        <v>0</v>
      </c>
    </row>
    <row r="256" spans="2:9" ht="18">
      <c r="B256" s="1318"/>
      <c r="C256" s="2026"/>
      <c r="D256" s="2026"/>
      <c r="E256" s="2026"/>
      <c r="F256" s="1959"/>
      <c r="G256" s="77"/>
      <c r="H256" s="1251"/>
    </row>
    <row r="257" spans="2:8" ht="37.5" customHeight="1">
      <c r="B257" s="2175" t="s">
        <v>532</v>
      </c>
      <c r="C257" s="2231" t="s">
        <v>916</v>
      </c>
      <c r="D257" s="2238"/>
      <c r="E257" s="2238"/>
      <c r="F257" s="2238"/>
      <c r="G257" s="2238"/>
      <c r="H257" s="2239"/>
    </row>
    <row r="258" spans="2:8" ht="18">
      <c r="B258" s="2175"/>
      <c r="C258" s="2234" t="s">
        <v>907</v>
      </c>
      <c r="D258" s="2235"/>
      <c r="E258" s="1550" t="s">
        <v>908</v>
      </c>
      <c r="F258" s="1548" t="s">
        <v>909</v>
      </c>
      <c r="G258" s="1548" t="s">
        <v>910</v>
      </c>
      <c r="H258" s="1791" t="s">
        <v>910</v>
      </c>
    </row>
    <row r="259" spans="2:8" ht="36">
      <c r="B259" s="1816" t="s">
        <v>917</v>
      </c>
      <c r="C259" s="2236">
        <v>166554746.43000001</v>
      </c>
      <c r="D259" s="2237"/>
      <c r="E259" s="1551">
        <v>0</v>
      </c>
      <c r="F259" s="1551">
        <v>0</v>
      </c>
      <c r="G259" s="1551">
        <v>0</v>
      </c>
      <c r="H259" s="1817">
        <v>0</v>
      </c>
    </row>
    <row r="260" spans="2:8" ht="54">
      <c r="B260" s="1816" t="s">
        <v>918</v>
      </c>
      <c r="C260" s="2236">
        <v>0</v>
      </c>
      <c r="D260" s="2237"/>
      <c r="E260" s="1551">
        <v>0</v>
      </c>
      <c r="F260" s="1551">
        <v>0</v>
      </c>
      <c r="G260" s="1551">
        <v>0</v>
      </c>
      <c r="H260" s="1817">
        <v>0</v>
      </c>
    </row>
    <row r="261" spans="2:8" ht="36">
      <c r="B261" s="1816" t="s">
        <v>919</v>
      </c>
      <c r="C261" s="2236">
        <v>0</v>
      </c>
      <c r="D261" s="2237"/>
      <c r="E261" s="1551">
        <v>0</v>
      </c>
      <c r="F261" s="1551">
        <v>0</v>
      </c>
      <c r="G261" s="1551">
        <v>0</v>
      </c>
      <c r="H261" s="1817">
        <v>0</v>
      </c>
    </row>
    <row r="262" spans="2:8" ht="36">
      <c r="B262" s="1816" t="s">
        <v>915</v>
      </c>
      <c r="C262" s="2236">
        <v>0</v>
      </c>
      <c r="D262" s="2237"/>
      <c r="E262" s="1551">
        <v>0</v>
      </c>
      <c r="F262" s="1551">
        <v>0</v>
      </c>
      <c r="G262" s="1551">
        <v>0</v>
      </c>
      <c r="H262" s="1817">
        <v>0</v>
      </c>
    </row>
    <row r="263" spans="2:8" ht="18">
      <c r="B263" s="1318"/>
      <c r="C263" s="2026"/>
      <c r="D263" s="2026"/>
      <c r="E263" s="2026"/>
      <c r="F263" s="1959"/>
      <c r="G263" s="1321"/>
      <c r="H263" s="1322"/>
    </row>
    <row r="264" spans="2:8" ht="18">
      <c r="B264" s="2108" t="s">
        <v>920</v>
      </c>
      <c r="C264" s="2109"/>
      <c r="D264" s="2109"/>
      <c r="E264" s="2109"/>
      <c r="F264" s="2109"/>
      <c r="G264" s="2109"/>
      <c r="H264" s="2172"/>
    </row>
    <row r="265" spans="2:8">
      <c r="B265" s="2108" t="s">
        <v>2926</v>
      </c>
      <c r="C265" s="2109"/>
      <c r="D265" s="2109"/>
      <c r="E265" s="2109"/>
      <c r="F265" s="2109"/>
      <c r="G265" s="2109"/>
      <c r="H265" s="2172"/>
    </row>
    <row r="266" spans="2:8">
      <c r="B266" s="2108"/>
      <c r="C266" s="2109"/>
      <c r="D266" s="2109"/>
      <c r="E266" s="2109"/>
      <c r="F266" s="2109"/>
      <c r="G266" s="2109"/>
      <c r="H266" s="2172"/>
    </row>
    <row r="267" spans="2:8" ht="85.2" customHeight="1" thickBot="1">
      <c r="B267" s="2216"/>
      <c r="C267" s="2217"/>
      <c r="D267" s="2217"/>
      <c r="E267" s="2217"/>
      <c r="F267" s="2217"/>
      <c r="G267" s="2217"/>
      <c r="H267" s="2218"/>
    </row>
    <row r="268" spans="2:8" ht="18">
      <c r="B268" s="2206" t="s">
        <v>785</v>
      </c>
      <c r="C268" s="2207"/>
      <c r="D268" s="2207"/>
      <c r="E268" s="2207"/>
      <c r="F268" s="2207"/>
      <c r="G268" s="2207"/>
      <c r="H268" s="2208"/>
    </row>
    <row r="269" spans="2:8" ht="18">
      <c r="B269" s="2105" t="s">
        <v>2241</v>
      </c>
      <c r="C269" s="2106"/>
      <c r="D269" s="2106"/>
      <c r="E269" s="2106"/>
      <c r="F269" s="2106"/>
      <c r="G269" s="2106"/>
      <c r="H269" s="2107"/>
    </row>
    <row r="270" spans="2:8" ht="18">
      <c r="B270" s="1287" t="s">
        <v>0</v>
      </c>
      <c r="C270" s="1288"/>
      <c r="D270" s="1288"/>
      <c r="E270" s="1288"/>
      <c r="F270" s="1289"/>
      <c r="G270" s="1237" t="s">
        <v>788</v>
      </c>
      <c r="H270" s="1238" t="s">
        <v>788</v>
      </c>
    </row>
    <row r="271" spans="2:8" ht="18">
      <c r="B271" s="1269"/>
      <c r="C271" s="55"/>
      <c r="D271" s="55"/>
      <c r="E271" s="55"/>
      <c r="F271" s="56"/>
      <c r="G271" s="41" t="str">
        <f>+G220</f>
        <v>March 31, 2023 (₹)</v>
      </c>
      <c r="H271" s="1272" t="str">
        <f>+H220</f>
        <v>March 31, 2022 (₹)</v>
      </c>
    </row>
    <row r="272" spans="2:8" ht="18">
      <c r="B272" s="1310" t="s">
        <v>921</v>
      </c>
      <c r="C272" s="68"/>
      <c r="D272" s="68"/>
      <c r="E272" s="68"/>
      <c r="F272" s="1959"/>
      <c r="G272" s="71"/>
      <c r="H272" s="1293"/>
    </row>
    <row r="273" spans="2:11" ht="18">
      <c r="B273" s="1315" t="s">
        <v>922</v>
      </c>
      <c r="C273" s="73"/>
      <c r="D273" s="73"/>
      <c r="E273" s="73"/>
      <c r="F273" s="1959"/>
      <c r="G273" s="71"/>
      <c r="H273" s="1293"/>
    </row>
    <row r="274" spans="2:11" ht="18">
      <c r="B274" s="1318" t="s">
        <v>923</v>
      </c>
      <c r="C274" s="2026"/>
      <c r="D274" s="2026"/>
      <c r="E274" s="2026"/>
      <c r="F274" s="1959"/>
      <c r="G274" s="71">
        <f>+GETPIVOTDATA("Sum of Dr. Final 22-23",Pivot!$A$3,"Note",7,"BS Main Head","Cash and cash Equivalents","BS Sub Head","Cash On Hand")</f>
        <v>230316</v>
      </c>
      <c r="H274" s="1293">
        <f>+GETPIVOTDATA("Sum of Dr. Final 21-22",Pivot!$A$3,"Note",7,"BS Main Head","Cash and cash Equivalents","BS Sub Head","Cash On Hand")</f>
        <v>68389</v>
      </c>
    </row>
    <row r="275" spans="2:11" ht="18">
      <c r="B275" s="1318"/>
      <c r="C275" s="2026"/>
      <c r="D275" s="2026"/>
      <c r="E275" s="2026"/>
      <c r="F275" s="1959"/>
      <c r="G275" s="71"/>
      <c r="H275" s="1293"/>
    </row>
    <row r="276" spans="2:11" ht="18">
      <c r="B276" s="1285" t="s">
        <v>924</v>
      </c>
      <c r="C276" s="2026"/>
      <c r="D276" s="2026"/>
      <c r="E276" s="2026"/>
      <c r="F276" s="1959"/>
      <c r="G276" s="71"/>
      <c r="H276" s="1293"/>
    </row>
    <row r="277" spans="2:11" ht="18">
      <c r="B277" s="1318" t="s">
        <v>925</v>
      </c>
      <c r="C277" s="2026"/>
      <c r="D277" s="2026"/>
      <c r="E277" s="2026"/>
      <c r="F277" s="1959"/>
      <c r="G277" s="71">
        <f>+GETPIVOTDATA("Sum of Dr. Final 22-23",Pivot!$A$3,"Note",7,"BS Main Head","Cash and cash Equivalents","BS Sub Head","Balance With Bank - Current A/c")</f>
        <v>9459.64</v>
      </c>
      <c r="H277" s="1293">
        <f>+GETPIVOTDATA("Sum of Dr. Final 21-22",Pivot!$A$3,"PARTICULARS","S.B.I. Indl.Fin.Br. Trustee HPML Empl.G.G.Scheme","Note",7,"BS Main Head","Cash and cash Equivalents","BS Sub Head","Balance With Bank - Current A/c")</f>
        <v>10757.64</v>
      </c>
    </row>
    <row r="278" spans="2:11" ht="18.600000000000001" thickBot="1">
      <c r="B278" s="1315"/>
      <c r="C278" s="73"/>
      <c r="D278" s="73"/>
      <c r="E278" s="73"/>
      <c r="F278" s="1959"/>
      <c r="G278" s="72">
        <f>+SUM(G274:G277)</f>
        <v>239775.64</v>
      </c>
      <c r="H278" s="1314">
        <f>+SUM(H274:H277)</f>
        <v>79146.64</v>
      </c>
    </row>
    <row r="279" spans="2:11" ht="18.600000000000001" thickTop="1">
      <c r="B279" s="1229"/>
      <c r="C279" s="1999"/>
      <c r="D279" s="1999"/>
      <c r="E279" s="1999"/>
      <c r="F279" s="1999"/>
      <c r="G279" s="59"/>
      <c r="H279" s="1293"/>
    </row>
    <row r="280" spans="2:11" ht="18">
      <c r="B280" s="2219" t="s">
        <v>2391</v>
      </c>
      <c r="C280" s="2220"/>
      <c r="D280" s="2028"/>
      <c r="E280" s="2020"/>
      <c r="F280" s="1959"/>
      <c r="G280" s="71"/>
      <c r="H280" s="1293"/>
    </row>
    <row r="281" spans="2:11" ht="18">
      <c r="B281" s="2221" t="s">
        <v>926</v>
      </c>
      <c r="C281" s="2222"/>
      <c r="D281" s="2222"/>
      <c r="E281" s="2222"/>
      <c r="F281" s="2222"/>
      <c r="G281" s="79"/>
      <c r="H281" s="1323"/>
    </row>
    <row r="282" spans="2:11" ht="18">
      <c r="B282" s="1297" t="s">
        <v>927</v>
      </c>
      <c r="C282" s="31"/>
      <c r="D282" s="31"/>
      <c r="E282" s="31"/>
      <c r="F282" s="1959"/>
      <c r="G282" s="71">
        <f>+GETPIVOTDATA("Sum of Dr. Final 22-23",Pivot!$A$3,"Note",9,"BS Main Head","Other Financial Assets","BS Sub Head","Loans and Advances to Employees")</f>
        <v>344000</v>
      </c>
      <c r="H282" s="1293">
        <f>+GETPIVOTDATA("Sum of Dr. Final 21-22",Pivot!$A$3,"Note",9,"BS Main Head","Other Financial Assets","BS Sub Head","Loans and Advances to Employees")</f>
        <v>345500</v>
      </c>
    </row>
    <row r="283" spans="2:11" ht="18">
      <c r="B283" s="1297" t="s">
        <v>928</v>
      </c>
      <c r="C283" s="2029"/>
      <c r="D283" s="2029"/>
      <c r="E283" s="2029"/>
      <c r="F283" s="1959"/>
      <c r="G283" s="71">
        <v>7083000</v>
      </c>
      <c r="H283" s="1293">
        <v>8017000</v>
      </c>
      <c r="I283" s="767"/>
      <c r="K283" s="674"/>
    </row>
    <row r="284" spans="2:11" ht="18.600000000000001" thickBot="1">
      <c r="B284" s="1285"/>
      <c r="C284" s="2027"/>
      <c r="D284" s="2027"/>
      <c r="E284" s="2027"/>
      <c r="F284" s="1958"/>
      <c r="G284" s="72">
        <f>+SUM(G282:G283)</f>
        <v>7427000</v>
      </c>
      <c r="H284" s="1314">
        <f>+SUM(H282:H283)</f>
        <v>8362500</v>
      </c>
      <c r="J284" s="136"/>
    </row>
    <row r="285" spans="2:11" ht="18.600000000000001" thickTop="1">
      <c r="B285" s="1310" t="s">
        <v>2797</v>
      </c>
      <c r="C285" s="34"/>
      <c r="D285" s="34"/>
      <c r="E285" s="34"/>
      <c r="F285" s="1959"/>
      <c r="G285" s="71"/>
      <c r="H285" s="1293"/>
    </row>
    <row r="286" spans="2:11" ht="18">
      <c r="B286" s="1297" t="s">
        <v>929</v>
      </c>
      <c r="C286" s="31"/>
      <c r="D286" s="31"/>
      <c r="E286" s="31"/>
      <c r="F286" s="1959"/>
      <c r="G286" s="71">
        <f>+GETPIVOTDATA("Sum of Dr. Final 22-23",Pivot!$A$3,"Note",10,"BS Main Head","Other Current Assets","BS Sub Head","Advance to Suppliers")</f>
        <v>8422074</v>
      </c>
      <c r="H286" s="1293">
        <f>+GETPIVOTDATA("Sum of Dr. Final 21-22",Pivot!$A$3,"Note",10,"BS Main Head","Other Current Assets","BS Sub Head","Advance to Suppliers")</f>
        <v>4376845.0199999996</v>
      </c>
      <c r="I286" s="767"/>
    </row>
    <row r="287" spans="2:11" ht="18">
      <c r="B287" s="1297" t="s">
        <v>221</v>
      </c>
      <c r="C287" s="68"/>
      <c r="D287" s="68"/>
      <c r="E287" s="68"/>
      <c r="F287" s="1959"/>
      <c r="G287" s="71">
        <f>+GETPIVOTDATA("Sum of Dr. Final 22-23",Pivot!$A$3,"Note",10,"BS Main Head","Other Current Assets","BS Sub Head","Prepaid Expenses")</f>
        <v>1216935</v>
      </c>
      <c r="H287" s="1293">
        <f>+GETPIVOTDATA("Sum of Dr. Final 21-22",Pivot!$A$3,"Note",10,"BS Main Head","Other Current Assets","BS Sub Head","Prepaid Expenses")</f>
        <v>1098844</v>
      </c>
      <c r="J287" s="766"/>
    </row>
    <row r="288" spans="2:11" ht="18">
      <c r="B288" s="1297" t="s">
        <v>930</v>
      </c>
      <c r="C288" s="68"/>
      <c r="D288" s="68"/>
      <c r="E288" s="68"/>
      <c r="F288" s="1959"/>
      <c r="G288" s="71">
        <f>+GETPIVOTDATA("Sum of Dr. Final 22-23",Pivot!$A$3,"Note",10,"BS Main Head","Other Current Assets","BS Sub Head","Insurance claim Receivable")</f>
        <v>176191</v>
      </c>
      <c r="H288" s="1293">
        <f>+GETPIVOTDATA("Sum of Dr. Final 21-22",Pivot!$A$3,"Note",10,"BS Main Head","Other Current Assets","BS Sub Head","Insurance claim Receivable")</f>
        <v>366786</v>
      </c>
    </row>
    <row r="289" spans="2:10" ht="18">
      <c r="B289" s="1297" t="s">
        <v>468</v>
      </c>
      <c r="C289" s="68"/>
      <c r="D289" s="68"/>
      <c r="E289" s="68"/>
      <c r="F289" s="1959"/>
      <c r="G289" s="71">
        <f>+GETPIVOTDATA("Sum of Dr. Final 22-23",Pivot!$A$3,"Note",10,"BS Main Head","Other Current Assets","BS Sub Head","Import Claim Receivable")</f>
        <v>221984</v>
      </c>
      <c r="H289" s="1293">
        <f>+GETPIVOTDATA("Sum of Dr. Final 21-22",Pivot!$A$3,"Note",10,"BS Main Head","Other Current Assets","BS Sub Head","Import Claim Receivable")</f>
        <v>413262</v>
      </c>
      <c r="J289" s="503"/>
    </row>
    <row r="290" spans="2:10" ht="18.600000000000001" thickBot="1">
      <c r="B290" s="1285"/>
      <c r="C290" s="68"/>
      <c r="D290" s="68"/>
      <c r="E290" s="68"/>
      <c r="F290" s="1958"/>
      <c r="G290" s="72">
        <f>+SUM(G286:G289)</f>
        <v>10037184</v>
      </c>
      <c r="H290" s="1314">
        <f>+SUM(H286:H289)</f>
        <v>6255737.0199999996</v>
      </c>
    </row>
    <row r="291" spans="2:10" ht="18.600000000000001" thickTop="1">
      <c r="B291" s="1310" t="s">
        <v>2798</v>
      </c>
      <c r="C291" s="68"/>
      <c r="D291" s="68"/>
      <c r="E291" s="68"/>
      <c r="F291" s="1958"/>
      <c r="G291" s="80"/>
      <c r="H291" s="1324"/>
    </row>
    <row r="292" spans="2:10" ht="18">
      <c r="B292" s="1297" t="s">
        <v>931</v>
      </c>
      <c r="C292" s="34"/>
      <c r="D292" s="34"/>
      <c r="E292" s="34"/>
      <c r="F292" s="1959"/>
      <c r="G292" s="71">
        <f>+GETPIVOTDATA("Sum of Dr. Final 22-23",Pivot!$A$3,"Note",11,"BS Main Head","Current Tax Assets","BS Sub Head","Advance Income Tax")</f>
        <v>3550400.36</v>
      </c>
      <c r="H292" s="1293">
        <v>2322957.8136877958</v>
      </c>
    </row>
    <row r="293" spans="2:10" ht="18.600000000000001" thickBot="1">
      <c r="B293" s="1285"/>
      <c r="C293" s="68"/>
      <c r="D293" s="68"/>
      <c r="E293" s="68"/>
      <c r="F293" s="1958"/>
      <c r="G293" s="72">
        <f>+G292</f>
        <v>3550400.36</v>
      </c>
      <c r="H293" s="1314">
        <f>+H292</f>
        <v>2322957.8136877958</v>
      </c>
    </row>
    <row r="294" spans="2:10" ht="15" hidden="1" thickTop="1">
      <c r="B294" s="1049"/>
      <c r="H294" s="1050"/>
    </row>
    <row r="295" spans="2:10" ht="15" hidden="1" thickTop="1">
      <c r="B295" s="1049"/>
      <c r="H295" s="1050"/>
    </row>
    <row r="296" spans="2:10" ht="18.600000000000001" hidden="1" thickTop="1">
      <c r="B296" s="1287" t="s">
        <v>0</v>
      </c>
      <c r="C296" s="1288"/>
      <c r="D296" s="1288"/>
      <c r="E296" s="1288"/>
      <c r="F296" s="1289"/>
      <c r="G296" s="1237" t="s">
        <v>788</v>
      </c>
      <c r="H296" s="1238" t="s">
        <v>788</v>
      </c>
    </row>
    <row r="297" spans="2:10" ht="18.600000000000001" hidden="1" thickTop="1">
      <c r="B297" s="1269"/>
      <c r="C297" s="55"/>
      <c r="D297" s="55"/>
      <c r="E297" s="55"/>
      <c r="F297" s="56"/>
      <c r="G297" s="41" t="str">
        <f>+G5</f>
        <v>March 31, 2023 (₹)</v>
      </c>
      <c r="H297" s="1272" t="str">
        <f>+H5</f>
        <v>March 31, 2022 (₹)</v>
      </c>
    </row>
    <row r="298" spans="2:10" ht="18.600000000000001" hidden="1" thickTop="1">
      <c r="B298" s="1297"/>
      <c r="C298" s="34"/>
      <c r="D298" s="34"/>
      <c r="E298" s="34"/>
      <c r="F298" s="1958"/>
      <c r="G298" s="67"/>
      <c r="H298" s="1309"/>
    </row>
    <row r="299" spans="2:10" ht="18.600000000000001" thickTop="1">
      <c r="B299" s="1310" t="s">
        <v>2799</v>
      </c>
      <c r="C299" s="68"/>
      <c r="D299" s="68"/>
      <c r="E299" s="68"/>
      <c r="F299" s="1958"/>
      <c r="G299" s="81"/>
      <c r="H299" s="1324"/>
    </row>
    <row r="300" spans="2:10" ht="18">
      <c r="B300" s="1315"/>
      <c r="C300" s="73"/>
      <c r="D300" s="73"/>
      <c r="E300" s="73"/>
      <c r="F300" s="1959"/>
      <c r="G300" s="59"/>
      <c r="H300" s="1293"/>
    </row>
    <row r="301" spans="2:10" ht="18">
      <c r="B301" s="1325" t="s">
        <v>932</v>
      </c>
      <c r="C301" s="83"/>
      <c r="D301" s="83"/>
      <c r="E301" s="83"/>
      <c r="F301" s="1959"/>
      <c r="G301" s="59"/>
      <c r="H301" s="1293"/>
    </row>
    <row r="302" spans="2:10" ht="18">
      <c r="B302" s="1326" t="s">
        <v>933</v>
      </c>
      <c r="C302" s="2030"/>
      <c r="D302" s="2030"/>
      <c r="E302" s="2030"/>
      <c r="F302" s="2031"/>
      <c r="G302" s="84">
        <v>35000000</v>
      </c>
      <c r="H302" s="1327">
        <v>35000000</v>
      </c>
    </row>
    <row r="303" spans="2:10" ht="18.600000000000001" thickBot="1">
      <c r="B303" s="1326"/>
      <c r="C303" s="2030"/>
      <c r="D303" s="2030"/>
      <c r="E303" s="2030"/>
      <c r="F303" s="1959"/>
      <c r="G303" s="1069">
        <v>35000000</v>
      </c>
      <c r="H303" s="1328">
        <v>35000000</v>
      </c>
    </row>
    <row r="304" spans="2:10" ht="18.600000000000001" thickTop="1">
      <c r="B304" s="1329" t="s">
        <v>934</v>
      </c>
      <c r="C304" s="2032"/>
      <c r="D304" s="2032"/>
      <c r="E304" s="2032"/>
      <c r="F304" s="1959"/>
      <c r="G304" s="59"/>
      <c r="H304" s="1293"/>
    </row>
    <row r="305" spans="2:17" ht="18">
      <c r="B305" s="2113" t="s">
        <v>935</v>
      </c>
      <c r="C305" s="2114"/>
      <c r="D305" s="2114"/>
      <c r="E305" s="2114"/>
      <c r="F305" s="2114"/>
      <c r="G305" s="59">
        <v>26922650</v>
      </c>
      <c r="H305" s="1293">
        <v>26922650</v>
      </c>
    </row>
    <row r="306" spans="2:17" ht="18">
      <c r="B306" s="2113"/>
      <c r="C306" s="2114"/>
      <c r="D306" s="2114"/>
      <c r="E306" s="2114"/>
      <c r="F306" s="2114"/>
      <c r="G306" s="85"/>
      <c r="H306" s="1330"/>
    </row>
    <row r="307" spans="2:17" ht="18.600000000000001" thickBot="1">
      <c r="B307" s="1315"/>
      <c r="C307" s="73"/>
      <c r="D307" s="73"/>
      <c r="E307" s="73"/>
      <c r="F307" s="1959"/>
      <c r="G307" s="72">
        <v>26922650</v>
      </c>
      <c r="H307" s="1314">
        <v>26922650</v>
      </c>
    </row>
    <row r="308" spans="2:17" ht="18.600000000000001" thickTop="1">
      <c r="B308" s="1331" t="s">
        <v>936</v>
      </c>
      <c r="C308" s="2030"/>
      <c r="D308" s="2030"/>
      <c r="E308" s="2030"/>
      <c r="F308" s="1959"/>
      <c r="G308" s="59"/>
      <c r="H308" s="1293"/>
    </row>
    <row r="309" spans="2:17" ht="18">
      <c r="B309" s="2253" t="s">
        <v>937</v>
      </c>
      <c r="C309" s="2254"/>
      <c r="D309" s="1731"/>
      <c r="E309" s="1332">
        <v>45016</v>
      </c>
      <c r="F309" s="1332">
        <v>44651</v>
      </c>
      <c r="G309" s="1073">
        <v>45016</v>
      </c>
      <c r="H309" s="1333">
        <v>44651</v>
      </c>
    </row>
    <row r="310" spans="2:17" ht="18">
      <c r="B310" s="2255"/>
      <c r="C310" s="2256"/>
      <c r="D310" s="1732"/>
      <c r="E310" s="1070" t="s">
        <v>940</v>
      </c>
      <c r="F310" s="1070" t="s">
        <v>940</v>
      </c>
      <c r="G310" s="1074" t="s">
        <v>941</v>
      </c>
      <c r="H310" s="1334" t="s">
        <v>941</v>
      </c>
      <c r="M310" s="2223" t="s">
        <v>937</v>
      </c>
      <c r="N310" s="2224"/>
      <c r="O310" s="137" t="s">
        <v>938</v>
      </c>
      <c r="P310" s="137" t="s">
        <v>939</v>
      </c>
      <c r="Q310" s="138"/>
    </row>
    <row r="311" spans="2:17" ht="18">
      <c r="B311" s="1335" t="s">
        <v>2240</v>
      </c>
      <c r="C311" s="97"/>
      <c r="D311" s="97"/>
      <c r="E311" s="1071">
        <v>0.12516709907828538</v>
      </c>
      <c r="F311" s="1071">
        <v>6.2199999999999998E-2</v>
      </c>
      <c r="G311" s="59">
        <v>337058</v>
      </c>
      <c r="H311" s="1293">
        <v>167480</v>
      </c>
      <c r="M311" s="2225"/>
      <c r="N311" s="2226"/>
      <c r="O311" s="139" t="s">
        <v>940</v>
      </c>
      <c r="P311" s="139" t="s">
        <v>940</v>
      </c>
      <c r="Q311" s="140" t="s">
        <v>941</v>
      </c>
    </row>
    <row r="312" spans="2:17" ht="18">
      <c r="B312" s="1335" t="s">
        <v>942</v>
      </c>
      <c r="C312" s="97"/>
      <c r="D312" s="97"/>
      <c r="E312" s="1071">
        <v>9.9306717577950163E-2</v>
      </c>
      <c r="F312" s="1071">
        <v>9.9299999999999999E-2</v>
      </c>
      <c r="G312" s="21">
        <v>267360</v>
      </c>
      <c r="H312" s="1248">
        <v>267360</v>
      </c>
      <c r="M312" s="2227" t="s">
        <v>942</v>
      </c>
      <c r="N312" s="2228"/>
      <c r="O312" s="141">
        <v>9.9306717577950163</v>
      </c>
      <c r="P312" s="141">
        <v>9.9306717577950163</v>
      </c>
      <c r="Q312" s="142">
        <v>267360</v>
      </c>
    </row>
    <row r="313" spans="2:17" ht="18">
      <c r="B313" s="1335" t="s">
        <v>943</v>
      </c>
      <c r="C313" s="97"/>
      <c r="D313" s="97"/>
      <c r="E313" s="1071">
        <v>8.9885282466621974E-2</v>
      </c>
      <c r="F313" s="1071">
        <v>8.9899999999999994E-2</v>
      </c>
      <c r="G313" s="59">
        <v>241995</v>
      </c>
      <c r="H313" s="1293">
        <v>241995</v>
      </c>
      <c r="M313" s="2227" t="s">
        <v>943</v>
      </c>
      <c r="N313" s="2228"/>
      <c r="O313" s="141">
        <v>8.9884000000000004</v>
      </c>
      <c r="P313" s="141">
        <v>8.9884000000000004</v>
      </c>
      <c r="Q313" s="143">
        <v>241995</v>
      </c>
    </row>
    <row r="314" spans="2:17" ht="18">
      <c r="B314" s="1335" t="s">
        <v>944</v>
      </c>
      <c r="C314" s="97"/>
      <c r="D314" s="97"/>
      <c r="E314" s="1071">
        <v>8.3537467522699291E-2</v>
      </c>
      <c r="F314" s="1071">
        <v>8.3500000000000005E-2</v>
      </c>
      <c r="G314" s="59">
        <v>228405</v>
      </c>
      <c r="H314" s="1293">
        <v>228405</v>
      </c>
      <c r="M314" s="2227" t="s">
        <v>944</v>
      </c>
      <c r="N314" s="2228"/>
      <c r="O314" s="141">
        <v>8.4837488137311894</v>
      </c>
      <c r="P314" s="141">
        <v>8.4837488137311894</v>
      </c>
      <c r="Q314" s="142">
        <v>228405</v>
      </c>
    </row>
    <row r="315" spans="2:17" ht="18">
      <c r="B315" s="1335" t="s">
        <v>945</v>
      </c>
      <c r="C315" s="97"/>
      <c r="D315" s="97"/>
      <c r="E315" s="1071">
        <v>6.9196382971215692E-2</v>
      </c>
      <c r="F315" s="1071">
        <v>6.9199999999999998E-2</v>
      </c>
      <c r="G315" s="59">
        <v>186295</v>
      </c>
      <c r="H315" s="1293">
        <v>186295</v>
      </c>
      <c r="M315" s="2227" t="s">
        <v>945</v>
      </c>
      <c r="N315" s="2228"/>
      <c r="O315" s="141">
        <v>6.9196382971215691</v>
      </c>
      <c r="P315" s="141">
        <v>6.9196382971215691</v>
      </c>
      <c r="Q315" s="142">
        <v>186295</v>
      </c>
    </row>
    <row r="316" spans="2:17" ht="18">
      <c r="B316" s="1335" t="s">
        <v>946</v>
      </c>
      <c r="C316" s="97"/>
      <c r="D316" s="97"/>
      <c r="E316" s="1071">
        <v>5.6066174763628393E-2</v>
      </c>
      <c r="F316" s="1071">
        <v>5.6099999999999997E-2</v>
      </c>
      <c r="G316" s="59">
        <v>150945</v>
      </c>
      <c r="H316" s="1293">
        <v>150945</v>
      </c>
      <c r="M316" s="2227" t="s">
        <v>946</v>
      </c>
      <c r="N316" s="2228"/>
      <c r="O316" s="141">
        <v>5.6066174763628389</v>
      </c>
      <c r="P316" s="141">
        <v>5.6066174763628389</v>
      </c>
      <c r="Q316" s="142">
        <v>150945</v>
      </c>
    </row>
    <row r="317" spans="2:17" ht="18">
      <c r="B317" s="1336" t="s">
        <v>2392</v>
      </c>
      <c r="C317" s="38"/>
      <c r="D317" s="38"/>
      <c r="E317" s="1072">
        <v>0</v>
      </c>
      <c r="F317" s="1072">
        <v>5.0900000000000001E-2</v>
      </c>
      <c r="G317" s="78">
        <v>0</v>
      </c>
      <c r="H317" s="1337">
        <v>137078</v>
      </c>
      <c r="M317" s="2209" t="s">
        <v>947</v>
      </c>
      <c r="N317" s="2210"/>
      <c r="O317" s="144">
        <v>5.09</v>
      </c>
      <c r="P317" s="144">
        <v>5.09</v>
      </c>
      <c r="Q317" s="145">
        <v>137078</v>
      </c>
    </row>
    <row r="318" spans="2:17" ht="18">
      <c r="B318" s="1315"/>
      <c r="C318" s="1959"/>
      <c r="D318" s="1959"/>
      <c r="E318" s="1959"/>
      <c r="F318" s="1959"/>
      <c r="G318" s="59"/>
      <c r="H318" s="1293"/>
    </row>
    <row r="319" spans="2:17" ht="18">
      <c r="B319" s="2240" t="s">
        <v>948</v>
      </c>
      <c r="C319" s="2241"/>
      <c r="D319" s="2241"/>
      <c r="E319" s="2241"/>
      <c r="F319" s="2241"/>
      <c r="G319" s="86"/>
      <c r="H319" s="1338"/>
    </row>
    <row r="320" spans="2:17" ht="18">
      <c r="B320" s="1818" t="s">
        <v>0</v>
      </c>
      <c r="C320" s="1769"/>
      <c r="D320" s="1769"/>
      <c r="E320" s="1769"/>
      <c r="F320" s="1769"/>
      <c r="G320" s="1770" t="s">
        <v>941</v>
      </c>
      <c r="H320" s="1819" t="s">
        <v>941</v>
      </c>
    </row>
    <row r="321" spans="2:9" ht="18">
      <c r="B321" s="1297" t="s">
        <v>949</v>
      </c>
      <c r="C321" s="1959"/>
      <c r="D321" s="1959"/>
      <c r="E321" s="1959"/>
      <c r="F321" s="1959"/>
      <c r="G321" s="59">
        <v>2692265</v>
      </c>
      <c r="H321" s="1293">
        <v>2692265</v>
      </c>
      <c r="I321" s="1602"/>
    </row>
    <row r="322" spans="2:9" ht="18">
      <c r="B322" s="1297" t="s">
        <v>950</v>
      </c>
      <c r="C322" s="1959"/>
      <c r="D322" s="1959"/>
      <c r="E322" s="1959"/>
      <c r="F322" s="1959"/>
      <c r="G322" s="84">
        <v>0</v>
      </c>
      <c r="H322" s="1327">
        <v>0</v>
      </c>
    </row>
    <row r="323" spans="2:9" ht="18">
      <c r="B323" s="1269" t="s">
        <v>951</v>
      </c>
      <c r="C323" s="38"/>
      <c r="D323" s="38"/>
      <c r="E323" s="38"/>
      <c r="F323" s="38"/>
      <c r="G323" s="1548">
        <v>2692265</v>
      </c>
      <c r="H323" s="1791">
        <v>2692265</v>
      </c>
    </row>
    <row r="324" spans="2:9" ht="18">
      <c r="B324" s="1339"/>
      <c r="C324" s="1340"/>
      <c r="D324" s="1340"/>
      <c r="E324" s="1340"/>
      <c r="F324" s="1340"/>
      <c r="G324" s="1341"/>
      <c r="H324" s="1342"/>
    </row>
    <row r="325" spans="2:9" ht="18">
      <c r="B325" s="2242" t="s">
        <v>2775</v>
      </c>
      <c r="C325" s="2243"/>
      <c r="D325" s="2243"/>
      <c r="E325" s="2243"/>
      <c r="F325" s="2243"/>
      <c r="G325" s="2243"/>
      <c r="H325" s="2244"/>
    </row>
    <row r="326" spans="2:9" ht="18">
      <c r="B326" s="1343"/>
      <c r="C326" s="87"/>
      <c r="D326" s="87"/>
      <c r="E326" s="87"/>
      <c r="F326" s="87"/>
      <c r="G326" s="88"/>
      <c r="H326" s="1344"/>
    </row>
    <row r="327" spans="2:9" ht="18">
      <c r="B327" s="2245" t="s">
        <v>952</v>
      </c>
      <c r="C327" s="2246"/>
      <c r="D327" s="2246"/>
      <c r="E327" s="2246"/>
      <c r="F327" s="2246"/>
      <c r="G327" s="89"/>
      <c r="H327" s="1345"/>
    </row>
    <row r="328" spans="2:9" ht="18">
      <c r="B328" s="1346" t="s">
        <v>953</v>
      </c>
      <c r="C328" s="1959"/>
      <c r="D328" s="1959"/>
      <c r="E328" s="1959"/>
      <c r="F328" s="1959"/>
      <c r="G328" s="31"/>
      <c r="H328" s="1265"/>
    </row>
    <row r="329" spans="2:9">
      <c r="B329" s="2247" t="s">
        <v>3136</v>
      </c>
      <c r="C329" s="2248"/>
      <c r="D329" s="2248"/>
      <c r="E329" s="2248"/>
      <c r="F329" s="2248"/>
      <c r="G329" s="2248"/>
      <c r="H329" s="2249"/>
    </row>
    <row r="330" spans="2:9">
      <c r="B330" s="2247"/>
      <c r="C330" s="2248"/>
      <c r="D330" s="2248"/>
      <c r="E330" s="2248"/>
      <c r="F330" s="2248"/>
      <c r="G330" s="2248"/>
      <c r="H330" s="2249"/>
    </row>
    <row r="331" spans="2:9">
      <c r="B331" s="2247"/>
      <c r="C331" s="2248"/>
      <c r="D331" s="2248"/>
      <c r="E331" s="2248"/>
      <c r="F331" s="2248"/>
      <c r="G331" s="2248"/>
      <c r="H331" s="2249"/>
    </row>
    <row r="332" spans="2:9" ht="30.75" customHeight="1" thickBot="1">
      <c r="B332" s="2250"/>
      <c r="C332" s="2251"/>
      <c r="D332" s="2251"/>
      <c r="E332" s="2251"/>
      <c r="F332" s="2251"/>
      <c r="G332" s="2251"/>
      <c r="H332" s="2252"/>
    </row>
    <row r="333" spans="2:9" ht="18">
      <c r="B333" s="2102" t="s">
        <v>785</v>
      </c>
      <c r="C333" s="2103"/>
      <c r="D333" s="2103"/>
      <c r="E333" s="2103"/>
      <c r="F333" s="2103"/>
      <c r="G333" s="2103"/>
      <c r="H333" s="2104"/>
    </row>
    <row r="334" spans="2:9" ht="18">
      <c r="B334" s="2124" t="s">
        <v>2241</v>
      </c>
      <c r="C334" s="2125"/>
      <c r="D334" s="2125"/>
      <c r="E334" s="2125"/>
      <c r="F334" s="2125"/>
      <c r="G334" s="2125"/>
      <c r="H334" s="2126"/>
    </row>
    <row r="335" spans="2:9" ht="18">
      <c r="B335" s="1347"/>
      <c r="C335" s="90"/>
      <c r="D335" s="90"/>
      <c r="E335" s="90"/>
      <c r="F335" s="90"/>
      <c r="G335" s="66"/>
      <c r="H335" s="1308"/>
    </row>
    <row r="336" spans="2:9" ht="18">
      <c r="B336" s="1348" t="s">
        <v>955</v>
      </c>
      <c r="C336" s="34"/>
      <c r="D336" s="34"/>
      <c r="E336" s="34"/>
      <c r="F336" s="1958"/>
      <c r="G336" s="36"/>
      <c r="H336" s="1267"/>
    </row>
    <row r="337" spans="2:14" ht="18">
      <c r="B337" s="1349" t="s">
        <v>956</v>
      </c>
      <c r="C337" s="55"/>
      <c r="D337" s="55"/>
      <c r="E337" s="55"/>
      <c r="F337" s="56"/>
      <c r="G337" s="91"/>
      <c r="H337" s="1350"/>
    </row>
    <row r="338" spans="2:14" ht="36">
      <c r="B338" s="1820" t="s">
        <v>2239</v>
      </c>
      <c r="C338" s="2183" t="s">
        <v>957</v>
      </c>
      <c r="D338" s="2183"/>
      <c r="E338" s="1552" t="s">
        <v>958</v>
      </c>
      <c r="F338" s="1553" t="s">
        <v>959</v>
      </c>
      <c r="G338" s="1554" t="s">
        <v>960</v>
      </c>
      <c r="H338" s="1811" t="s">
        <v>960</v>
      </c>
      <c r="J338">
        <f>126990*2</f>
        <v>253980</v>
      </c>
    </row>
    <row r="339" spans="2:14" ht="18">
      <c r="B339" s="1821" t="s">
        <v>961</v>
      </c>
      <c r="C339" s="2182">
        <v>267360</v>
      </c>
      <c r="D339" s="2182"/>
      <c r="E339" s="1555">
        <v>0</v>
      </c>
      <c r="F339" s="1814">
        <v>267360</v>
      </c>
      <c r="G339" s="1556">
        <f>+F339/$G$321</f>
        <v>9.9306717577950163E-2</v>
      </c>
      <c r="H339" s="1822">
        <f>+G339</f>
        <v>9.9306717577950163E-2</v>
      </c>
    </row>
    <row r="340" spans="2:14" ht="18">
      <c r="B340" s="1821" t="s">
        <v>962</v>
      </c>
      <c r="C340" s="2182">
        <v>241995</v>
      </c>
      <c r="D340" s="2182"/>
      <c r="E340" s="1555">
        <v>0</v>
      </c>
      <c r="F340" s="1814">
        <v>241995</v>
      </c>
      <c r="G340" s="1556">
        <f t="shared" ref="G340:G345" si="4">+F340/$G$321</f>
        <v>8.9885282466621974E-2</v>
      </c>
      <c r="H340" s="1822">
        <f t="shared" ref="H340:H345" si="5">+G340</f>
        <v>8.9885282466621974E-2</v>
      </c>
    </row>
    <row r="341" spans="2:14" ht="18">
      <c r="B341" s="1821" t="s">
        <v>963</v>
      </c>
      <c r="C341" s="2182">
        <v>186295</v>
      </c>
      <c r="D341" s="2182"/>
      <c r="E341" s="1555">
        <v>0</v>
      </c>
      <c r="F341" s="1814">
        <v>186295</v>
      </c>
      <c r="G341" s="1556">
        <f t="shared" si="4"/>
        <v>6.9196382971215692E-2</v>
      </c>
      <c r="H341" s="1822">
        <f t="shared" si="5"/>
        <v>6.9196382971215692E-2</v>
      </c>
    </row>
    <row r="342" spans="2:14" ht="18">
      <c r="B342" s="1821" t="s">
        <v>964</v>
      </c>
      <c r="C342" s="2182">
        <v>113805</v>
      </c>
      <c r="D342" s="2182"/>
      <c r="E342" s="1555">
        <v>0</v>
      </c>
      <c r="F342" s="1814">
        <v>113805</v>
      </c>
      <c r="G342" s="1556">
        <f t="shared" si="4"/>
        <v>4.2271098870282083E-2</v>
      </c>
      <c r="H342" s="1822">
        <f t="shared" si="5"/>
        <v>4.2271098870282083E-2</v>
      </c>
    </row>
    <row r="343" spans="2:14" ht="18">
      <c r="B343" s="1821" t="s">
        <v>965</v>
      </c>
      <c r="C343" s="2182">
        <v>39520</v>
      </c>
      <c r="D343" s="2182"/>
      <c r="E343" s="1555">
        <v>0</v>
      </c>
      <c r="F343" s="1814">
        <v>39520</v>
      </c>
      <c r="G343" s="1556">
        <f t="shared" si="4"/>
        <v>1.4679089911282878E-2</v>
      </c>
      <c r="H343" s="1822">
        <f t="shared" si="5"/>
        <v>1.4679089911282878E-2</v>
      </c>
      <c r="K343" s="504"/>
      <c r="L343" s="504"/>
      <c r="M343" s="504"/>
      <c r="N343" s="504"/>
    </row>
    <row r="344" spans="2:14" ht="18">
      <c r="B344" s="1821" t="s">
        <v>966</v>
      </c>
      <c r="C344" s="2182">
        <v>3600</v>
      </c>
      <c r="D344" s="2182"/>
      <c r="E344" s="1555">
        <v>0</v>
      </c>
      <c r="F344" s="1814">
        <v>3600</v>
      </c>
      <c r="G344" s="1556">
        <f t="shared" si="4"/>
        <v>1.3371640607443918E-3</v>
      </c>
      <c r="H344" s="1822">
        <f t="shared" si="5"/>
        <v>1.3371640607443918E-3</v>
      </c>
    </row>
    <row r="345" spans="2:14" ht="18">
      <c r="B345" s="1821" t="s">
        <v>967</v>
      </c>
      <c r="C345" s="2182">
        <v>100</v>
      </c>
      <c r="D345" s="2182"/>
      <c r="E345" s="1555">
        <v>0</v>
      </c>
      <c r="F345" s="1814">
        <v>100</v>
      </c>
      <c r="G345" s="1557">
        <f t="shared" si="4"/>
        <v>3.7143446131788664E-5</v>
      </c>
      <c r="H345" s="1823">
        <f t="shared" si="5"/>
        <v>3.7143446131788664E-5</v>
      </c>
    </row>
    <row r="346" spans="2:14" ht="18">
      <c r="B346" s="1297"/>
      <c r="C346" s="34"/>
      <c r="D346" s="34"/>
      <c r="E346" s="34"/>
      <c r="F346" s="1958"/>
      <c r="G346" s="81"/>
      <c r="H346" s="1324"/>
    </row>
    <row r="347" spans="2:14" ht="18">
      <c r="B347" s="1283" t="s">
        <v>968</v>
      </c>
      <c r="C347" s="34"/>
      <c r="D347" s="34"/>
      <c r="E347" s="34"/>
      <c r="F347" s="1958"/>
      <c r="G347" s="81"/>
      <c r="H347" s="1324"/>
    </row>
    <row r="348" spans="2:14" ht="36">
      <c r="B348" s="1820" t="s">
        <v>2239</v>
      </c>
      <c r="C348" s="2183" t="s">
        <v>957</v>
      </c>
      <c r="D348" s="2183"/>
      <c r="E348" s="1552" t="s">
        <v>958</v>
      </c>
      <c r="F348" s="2059" t="s">
        <v>959</v>
      </c>
      <c r="G348" s="2060" t="s">
        <v>960</v>
      </c>
      <c r="H348" s="2061" t="s">
        <v>960</v>
      </c>
    </row>
    <row r="349" spans="2:14" ht="18">
      <c r="B349" s="1821" t="s">
        <v>961</v>
      </c>
      <c r="C349" s="2182">
        <v>267360</v>
      </c>
      <c r="D349" s="2182"/>
      <c r="E349" s="1555">
        <v>0</v>
      </c>
      <c r="F349" s="1814">
        <v>267360</v>
      </c>
      <c r="G349" s="1556">
        <f t="shared" ref="G349" si="6">+F349/$G$321</f>
        <v>9.9306717577950163E-2</v>
      </c>
      <c r="H349" s="1822">
        <f t="shared" ref="H349:H355" si="7">+G349</f>
        <v>9.9306717577950163E-2</v>
      </c>
    </row>
    <row r="350" spans="2:14" ht="18">
      <c r="B350" s="1821" t="s">
        <v>962</v>
      </c>
      <c r="C350" s="2182">
        <v>241995</v>
      </c>
      <c r="D350" s="2182"/>
      <c r="E350" s="1555">
        <v>0</v>
      </c>
      <c r="F350" s="1814">
        <v>241995</v>
      </c>
      <c r="G350" s="1556">
        <f t="shared" ref="G350" si="8">+F350/$G$321</f>
        <v>8.9885282466621974E-2</v>
      </c>
      <c r="H350" s="1822">
        <f t="shared" si="7"/>
        <v>8.9885282466621974E-2</v>
      </c>
    </row>
    <row r="351" spans="2:14" ht="18">
      <c r="B351" s="1821" t="s">
        <v>963</v>
      </c>
      <c r="C351" s="2182">
        <v>186295</v>
      </c>
      <c r="D351" s="2182"/>
      <c r="E351" s="1555">
        <v>0</v>
      </c>
      <c r="F351" s="1814">
        <v>186295</v>
      </c>
      <c r="G351" s="1556">
        <f t="shared" ref="G351" si="9">+F351/$G$321</f>
        <v>6.9196382971215692E-2</v>
      </c>
      <c r="H351" s="1822">
        <f t="shared" si="7"/>
        <v>6.9196382971215692E-2</v>
      </c>
    </row>
    <row r="352" spans="2:14" ht="18">
      <c r="B352" s="1821" t="s">
        <v>964</v>
      </c>
      <c r="C352" s="2182">
        <v>113805</v>
      </c>
      <c r="D352" s="2182"/>
      <c r="E352" s="1555">
        <v>0</v>
      </c>
      <c r="F352" s="1814">
        <v>113805</v>
      </c>
      <c r="G352" s="1556">
        <f t="shared" ref="G352" si="10">+F352/$G$321</f>
        <v>4.2271098870282083E-2</v>
      </c>
      <c r="H352" s="1822">
        <f t="shared" si="7"/>
        <v>4.2271098870282083E-2</v>
      </c>
    </row>
    <row r="353" spans="2:14" ht="18">
      <c r="B353" s="1821" t="s">
        <v>965</v>
      </c>
      <c r="C353" s="2182">
        <v>39520</v>
      </c>
      <c r="D353" s="2182"/>
      <c r="E353" s="1555">
        <v>0</v>
      </c>
      <c r="F353" s="1814">
        <v>39520</v>
      </c>
      <c r="G353" s="1556">
        <f t="shared" ref="G353" si="11">+F353/$G$321</f>
        <v>1.4679089911282878E-2</v>
      </c>
      <c r="H353" s="1822">
        <f t="shared" si="7"/>
        <v>1.4679089911282878E-2</v>
      </c>
      <c r="K353" s="504"/>
      <c r="L353" s="504"/>
      <c r="M353" s="504"/>
      <c r="N353" s="504"/>
    </row>
    <row r="354" spans="2:14" ht="18">
      <c r="B354" s="1821" t="s">
        <v>966</v>
      </c>
      <c r="C354" s="2182">
        <v>3600</v>
      </c>
      <c r="D354" s="2182"/>
      <c r="E354" s="1555">
        <v>0</v>
      </c>
      <c r="F354" s="1814">
        <v>3600</v>
      </c>
      <c r="G354" s="1556">
        <f t="shared" ref="G354" si="12">+F354/$G$321</f>
        <v>1.3371640607443918E-3</v>
      </c>
      <c r="H354" s="1822">
        <f t="shared" si="7"/>
        <v>1.3371640607443918E-3</v>
      </c>
    </row>
    <row r="355" spans="2:14" ht="18">
      <c r="B355" s="1821" t="s">
        <v>967</v>
      </c>
      <c r="C355" s="2182">
        <v>100</v>
      </c>
      <c r="D355" s="2182"/>
      <c r="E355" s="1555">
        <v>0</v>
      </c>
      <c r="F355" s="1814">
        <v>100</v>
      </c>
      <c r="G355" s="1557">
        <f t="shared" ref="G355" si="13">+F355/$G$321</f>
        <v>3.7143446131788664E-5</v>
      </c>
      <c r="H355" s="1823">
        <f t="shared" si="7"/>
        <v>3.7143446131788664E-5</v>
      </c>
    </row>
    <row r="356" spans="2:14" ht="18">
      <c r="B356" s="1420"/>
      <c r="C356" s="1341"/>
      <c r="D356" s="1341"/>
      <c r="E356" s="1341"/>
      <c r="F356" s="1306"/>
      <c r="G356" s="1579"/>
      <c r="H356" s="1580"/>
    </row>
    <row r="357" spans="2:14" hidden="1">
      <c r="B357" s="1049"/>
      <c r="H357" s="1050"/>
    </row>
    <row r="358" spans="2:14" hidden="1">
      <c r="B358" s="1049"/>
      <c r="H358" s="1050"/>
    </row>
    <row r="359" spans="2:14" ht="18" hidden="1">
      <c r="B359" s="1824"/>
      <c r="C359" s="1351"/>
      <c r="D359" s="1351"/>
      <c r="E359" s="1351"/>
      <c r="F359" s="1352"/>
      <c r="G359" s="1353"/>
      <c r="H359" s="1354"/>
    </row>
    <row r="360" spans="2:14" ht="18">
      <c r="B360" s="1287" t="s">
        <v>0</v>
      </c>
      <c r="C360" s="1288"/>
      <c r="D360" s="1288"/>
      <c r="E360" s="1288"/>
      <c r="F360" s="1289"/>
      <c r="G360" s="1237" t="s">
        <v>788</v>
      </c>
      <c r="H360" s="1238" t="s">
        <v>788</v>
      </c>
    </row>
    <row r="361" spans="2:14" ht="18">
      <c r="B361" s="1269"/>
      <c r="C361" s="55"/>
      <c r="D361" s="55"/>
      <c r="E361" s="55"/>
      <c r="F361" s="56"/>
      <c r="G361" s="41" t="str">
        <f>+G297</f>
        <v>March 31, 2023 (₹)</v>
      </c>
      <c r="H361" s="1272" t="str">
        <f>+H297</f>
        <v>March 31, 2022 (₹)</v>
      </c>
    </row>
    <row r="362" spans="2:14" ht="18">
      <c r="B362" s="1310" t="s">
        <v>2800</v>
      </c>
      <c r="C362" s="68"/>
      <c r="D362" s="68"/>
      <c r="E362" s="68"/>
      <c r="F362" s="1959"/>
      <c r="G362" s="59"/>
      <c r="H362" s="1293"/>
    </row>
    <row r="363" spans="2:14" ht="18">
      <c r="B363" s="1310"/>
      <c r="C363" s="68"/>
      <c r="D363" s="68"/>
      <c r="E363" s="68"/>
      <c r="F363" s="1959"/>
      <c r="G363" s="59"/>
      <c r="H363" s="1293"/>
    </row>
    <row r="364" spans="2:14" ht="18">
      <c r="B364" s="1315" t="s">
        <v>969</v>
      </c>
      <c r="C364" s="73"/>
      <c r="D364" s="73"/>
      <c r="E364" s="73"/>
      <c r="F364" s="1959"/>
      <c r="G364" s="59"/>
      <c r="H364" s="1293"/>
    </row>
    <row r="365" spans="2:14" ht="18">
      <c r="B365" s="1355" t="s">
        <v>970</v>
      </c>
      <c r="C365" s="2026"/>
      <c r="D365" s="2026"/>
      <c r="E365" s="2026"/>
      <c r="F365" s="1959"/>
      <c r="G365" s="59"/>
      <c r="H365" s="1293"/>
    </row>
    <row r="366" spans="2:14" ht="18">
      <c r="B366" s="1355"/>
      <c r="C366" s="2026"/>
      <c r="D366" s="2026"/>
      <c r="E366" s="2026"/>
      <c r="F366" s="1959"/>
      <c r="G366" s="59"/>
      <c r="H366" s="1293"/>
    </row>
    <row r="367" spans="2:14" ht="18">
      <c r="B367" s="1296" t="s">
        <v>971</v>
      </c>
      <c r="C367" s="2030"/>
      <c r="D367" s="2030"/>
      <c r="E367" s="2030"/>
      <c r="F367" s="1959"/>
      <c r="G367" s="59">
        <f>+GETPIVOTDATA("Sum of Cr. Final 22-23",Pivot!$A$3,"PARTICULARS","S. B I. TERM LOAN  ( 7.75 Cr) A/c 40667225452","Note",13,"BS Main Head","Long Term Borrowings","BS Sub Head","Secured - From Banks - Term Loan")+GETPIVOTDATA("Sum of Cr. Final 22-23",Pivot!$A$3,"PARTICULARS","S.B.I. Add.Term  Loan (1.40lac)A/c.No.41345851422","Note",13,"BS Main Head","Long Term Borrowings","BS Sub Head","Secured - From Banks - Term Loan")-G408</f>
        <v>57314949</v>
      </c>
      <c r="H367" s="1293">
        <f>+GETPIVOTDATA("Sum of Cr. Final 21-22",Pivot!$A$3,"PARTICULARS","S. B I. TERM LOAN  ( 7.75 Cr) A/c 40667225452","Note",13,"BS Main Head","Long Term Borrowings","BS Sub Head","Secured - From Banks - Term Loan")-BSPL!H408</f>
        <v>6243710</v>
      </c>
    </row>
    <row r="368" spans="2:14" ht="92.4" customHeight="1">
      <c r="B368" s="2108" t="s">
        <v>3125</v>
      </c>
      <c r="C368" s="2109"/>
      <c r="D368" s="2109"/>
      <c r="E368" s="2109"/>
      <c r="F368" s="2174"/>
      <c r="G368" s="69"/>
      <c r="H368" s="1312"/>
    </row>
    <row r="369" spans="2:9" ht="57" customHeight="1">
      <c r="B369" s="2108" t="s">
        <v>2927</v>
      </c>
      <c r="C369" s="2109"/>
      <c r="D369" s="2109"/>
      <c r="E369" s="2109"/>
      <c r="F369" s="2174"/>
      <c r="G369" s="69"/>
      <c r="H369" s="1312"/>
    </row>
    <row r="370" spans="2:9" ht="111" customHeight="1">
      <c r="B370" s="2108" t="s">
        <v>2776</v>
      </c>
      <c r="C370" s="2109"/>
      <c r="D370" s="2109"/>
      <c r="E370" s="2109"/>
      <c r="F370" s="2174"/>
      <c r="G370" s="69"/>
      <c r="H370" s="1312"/>
    </row>
    <row r="371" spans="2:9" ht="18">
      <c r="B371" s="1355"/>
      <c r="C371" s="2033"/>
      <c r="D371" s="2033"/>
      <c r="E371" s="2033"/>
      <c r="F371" s="2033"/>
      <c r="G371" s="69"/>
      <c r="H371" s="1312"/>
    </row>
    <row r="372" spans="2:9" ht="18">
      <c r="B372" s="1285" t="s">
        <v>972</v>
      </c>
      <c r="C372" s="2034"/>
      <c r="D372" s="2034"/>
      <c r="E372" s="2034"/>
      <c r="F372" s="2034"/>
      <c r="G372" s="69">
        <f>+GETPIVOTDATA("Sum of Cr. Final 22-23",Pivot!$A$3,"PARTICULARS","S.B.I. ( GECL)  Term Loan A/c 39366011281(1.46 Cr)","Note",13,"BS Main Head","Long Term Borrowings","BS Sub Head","Secured - From Banks - Term Loan")+GETPIVOTDATA("Sum of Cr. Final 22-23",Pivot!$A$3,"PARTICULARS","S.B.I. ( COVID) A/C. 40590939457 (GECL30%) 73 Lakh","Note",13,"BS Main Head","Long Term Borrowings","BS Sub Head","Secured - From Banks - Term Loan")-G409</f>
        <v>4466577.09</v>
      </c>
      <c r="H372" s="1312">
        <f>+GETPIVOTDATA("Sum of Cr. Final 21-22",Pivot!$A$3,"PARTICULARS","S.B.I. ( COVID) A/C. 40590939457 (GECL30%) 73 Lakh","Note",13,"BS Main Head","Long Term Borrowings","BS Sub Head","Secured - From Banks - Term Loan")+GETPIVOTDATA("Sum of Cr. Final 21-22",Pivot!$A$3,"PARTICULARS","S.B.I. ( GECL)  Term Loan A/c 39366011281(1.46 Cr)","Note",13,"BS Main Head","Long Term Borrowings","BS Sub Head","Secured - From Banks - Term Loan")-BSPL!H409</f>
        <v>12801423</v>
      </c>
    </row>
    <row r="373" spans="2:9" ht="78.599999999999994" customHeight="1">
      <c r="B373" s="2108" t="s">
        <v>3126</v>
      </c>
      <c r="C373" s="2109"/>
      <c r="D373" s="2109"/>
      <c r="E373" s="2109"/>
      <c r="F373" s="2174"/>
      <c r="G373" s="69"/>
      <c r="H373" s="1312"/>
    </row>
    <row r="374" spans="2:9" ht="61.2" customHeight="1">
      <c r="B374" s="2108" t="s">
        <v>2928</v>
      </c>
      <c r="C374" s="2109"/>
      <c r="D374" s="2109"/>
      <c r="E374" s="2109"/>
      <c r="F374" s="2174"/>
      <c r="G374" s="69"/>
      <c r="H374" s="1312"/>
    </row>
    <row r="375" spans="2:9" ht="18">
      <c r="B375" s="1316"/>
      <c r="C375" s="2024"/>
      <c r="D375" s="2024"/>
      <c r="E375" s="2024"/>
      <c r="F375" s="2024"/>
      <c r="G375" s="69"/>
      <c r="H375" s="1312"/>
    </row>
    <row r="376" spans="2:9" ht="18">
      <c r="B376" s="1285" t="s">
        <v>973</v>
      </c>
      <c r="C376" s="2026"/>
      <c r="D376" s="2026"/>
      <c r="E376" s="2026"/>
      <c r="F376" s="1959"/>
      <c r="G376" s="59"/>
      <c r="H376" s="1293"/>
    </row>
    <row r="377" spans="2:9" ht="18">
      <c r="B377" s="1294" t="s">
        <v>974</v>
      </c>
      <c r="C377" s="2026"/>
      <c r="D377" s="2026"/>
      <c r="E377" s="2026"/>
      <c r="F377" s="1959"/>
      <c r="G377" s="59">
        <f>+GETPIVOTDATA("Sum of Cr. Final 22-23",Pivot!$A$3,"Note",13,"BS Main Head","Long Term Borrowings","BS Sub Head","Unsecured-From Others")</f>
        <v>15000000</v>
      </c>
      <c r="H377" s="1293">
        <f>+GETPIVOTDATA("Sum of Cr. Final 21-22",Pivot!$A$3,"Note",13,"BS Main Head","Long Term Borrowings","BS Sub Head","Unsecured-From Others")</f>
        <v>0</v>
      </c>
    </row>
    <row r="378" spans="2:9" ht="18">
      <c r="B378" s="1318" t="s">
        <v>2777</v>
      </c>
      <c r="C378" s="2026"/>
      <c r="D378" s="2026"/>
      <c r="E378" s="2026"/>
      <c r="F378" s="1959"/>
      <c r="G378" s="59">
        <f>+GETPIVOTDATA("Sum of Cr. Final 22-23",Pivot!$A$3,"Note",13,"BS Main Head","Long Term Borrowings","BS Sub Head","Unsecured-From Related Party")</f>
        <v>37807579</v>
      </c>
      <c r="H378" s="1293">
        <f>+GETPIVOTDATA("Sum of Cr. Final 21-22",Pivot!$A$3,"Note",13,"BS Main Head","Long Term Borrowings","BS Sub Head","Unsecured-From Related Party")</f>
        <v>24020979</v>
      </c>
    </row>
    <row r="379" spans="2:9" ht="18.600000000000001" thickBot="1">
      <c r="B379" s="2035"/>
      <c r="C379" s="2036"/>
      <c r="D379" s="2036"/>
      <c r="E379" s="2036"/>
      <c r="F379" s="2037"/>
      <c r="G379" s="2038">
        <f>+SUM(G367:G378)</f>
        <v>114589105.09</v>
      </c>
      <c r="H379" s="2039">
        <f>+SUM(H367:H378)</f>
        <v>43066112</v>
      </c>
      <c r="I379" s="768"/>
    </row>
    <row r="380" spans="2:9" ht="18">
      <c r="B380" s="2102" t="s">
        <v>785</v>
      </c>
      <c r="C380" s="2103"/>
      <c r="D380" s="2103"/>
      <c r="E380" s="2103"/>
      <c r="F380" s="2103"/>
      <c r="G380" s="2103"/>
      <c r="H380" s="2104"/>
    </row>
    <row r="381" spans="2:9" ht="18">
      <c r="B381" s="2105" t="s">
        <v>2241</v>
      </c>
      <c r="C381" s="2106"/>
      <c r="D381" s="2106"/>
      <c r="E381" s="2106"/>
      <c r="F381" s="2106"/>
      <c r="G381" s="2106"/>
      <c r="H381" s="2107"/>
    </row>
    <row r="382" spans="2:9" ht="18">
      <c r="B382" s="1437" t="s">
        <v>0</v>
      </c>
      <c r="C382" s="68"/>
      <c r="D382" s="68"/>
      <c r="E382" s="68"/>
      <c r="F382" s="2014"/>
      <c r="G382" s="1237" t="s">
        <v>788</v>
      </c>
      <c r="H382" s="1238" t="s">
        <v>788</v>
      </c>
    </row>
    <row r="383" spans="2:9" ht="18">
      <c r="B383" s="1269"/>
      <c r="C383" s="55"/>
      <c r="D383" s="55"/>
      <c r="E383" s="55"/>
      <c r="F383" s="56"/>
      <c r="G383" s="41" t="str">
        <f>+G5</f>
        <v>March 31, 2023 (₹)</v>
      </c>
      <c r="H383" s="1272" t="str">
        <f>+H5</f>
        <v>March 31, 2022 (₹)</v>
      </c>
    </row>
    <row r="384" spans="2:9" ht="18">
      <c r="B384" s="1297"/>
      <c r="C384" s="34"/>
      <c r="D384" s="34"/>
      <c r="E384" s="34"/>
      <c r="F384" s="1958"/>
      <c r="G384" s="67"/>
      <c r="H384" s="1309"/>
    </row>
    <row r="385" spans="2:8" ht="18">
      <c r="B385" s="1325" t="s">
        <v>2801</v>
      </c>
      <c r="C385" s="34"/>
      <c r="D385" s="34"/>
      <c r="E385" s="34"/>
      <c r="F385" s="1958"/>
      <c r="G385" s="81"/>
      <c r="H385" s="1324"/>
    </row>
    <row r="386" spans="2:8" ht="18">
      <c r="B386" s="1297" t="s">
        <v>975</v>
      </c>
      <c r="C386" s="34"/>
      <c r="D386" s="34"/>
      <c r="E386" s="34"/>
      <c r="F386" s="1958"/>
      <c r="G386" s="1075">
        <f>+GETPIVOTDATA("Sum of Cr. Final 22-23",Pivot!$A$3,"Note",14,"BS Main Head","Non Current - Provisions")-GETPIVOTDATA("Sum of Dr. Final 22-23",Pivot!$A$3,"Note",14,"BS Main Head","Non Current - Provisions")-G465</f>
        <v>838989.70000000019</v>
      </c>
      <c r="H386" s="1356">
        <f>+GETPIVOTDATA("Sum of Cr. Final 21-22",Pivot!$A$3,"Note",14,"BS Main Head","Non Current - Provisions")-GETPIVOTDATA("Sum of Dr. Final 21-22",Pivot!$A$3,"Note",14,"BS Main Head","Non Current - Provisions")-H465</f>
        <v>975075.70000000019</v>
      </c>
    </row>
    <row r="387" spans="2:8" ht="18">
      <c r="B387" s="1297"/>
      <c r="C387" s="34"/>
      <c r="D387" s="34"/>
      <c r="E387" s="34"/>
      <c r="F387" s="1958"/>
      <c r="G387" s="16">
        <f>+SUM(G386)</f>
        <v>838989.70000000019</v>
      </c>
      <c r="H387" s="1240">
        <f>+SUM(H386)</f>
        <v>975075.70000000019</v>
      </c>
    </row>
    <row r="388" spans="2:8" ht="18">
      <c r="B388" s="1325" t="s">
        <v>2802</v>
      </c>
      <c r="C388" s="73"/>
      <c r="D388" s="73"/>
      <c r="E388" s="73"/>
      <c r="F388" s="1959"/>
      <c r="G388" s="59"/>
      <c r="H388" s="1293"/>
    </row>
    <row r="389" spans="2:8" ht="18">
      <c r="B389" s="2168" t="s">
        <v>976</v>
      </c>
      <c r="C389" s="2169"/>
      <c r="D389" s="2169"/>
      <c r="E389" s="2169"/>
      <c r="F389" s="1959"/>
      <c r="G389" s="59"/>
      <c r="H389" s="1293"/>
    </row>
    <row r="390" spans="2:8" ht="18">
      <c r="B390" s="1357" t="s">
        <v>2929</v>
      </c>
      <c r="C390" s="1077"/>
      <c r="D390" s="1077"/>
      <c r="E390" s="1077"/>
      <c r="F390" s="1077"/>
      <c r="G390" s="76"/>
      <c r="H390" s="1319"/>
    </row>
    <row r="391" spans="2:8" ht="18">
      <c r="B391" s="1358" t="s">
        <v>977</v>
      </c>
      <c r="C391" s="1077"/>
      <c r="D391" s="1077"/>
      <c r="E391" s="1077"/>
      <c r="F391" s="1077"/>
      <c r="G391" s="76"/>
      <c r="H391" s="1319"/>
    </row>
    <row r="392" spans="2:8" ht="18">
      <c r="B392" s="1359" t="s">
        <v>978</v>
      </c>
      <c r="C392" s="1077"/>
      <c r="D392" s="1077"/>
      <c r="E392" s="1077"/>
      <c r="F392" s="1077"/>
      <c r="G392" s="1078">
        <f>+DT!J15</f>
        <v>15542258.215957768</v>
      </c>
      <c r="H392" s="1360">
        <v>16810592.966513626</v>
      </c>
    </row>
    <row r="393" spans="2:8" ht="18">
      <c r="B393" s="1357" t="s">
        <v>979</v>
      </c>
      <c r="C393" s="1077"/>
      <c r="D393" s="1077"/>
      <c r="E393" s="1077"/>
      <c r="F393" s="1077"/>
      <c r="G393" s="81">
        <f>+G392</f>
        <v>15542258.215957768</v>
      </c>
      <c r="H393" s="1324">
        <f>+H392</f>
        <v>16810592.966513626</v>
      </c>
    </row>
    <row r="394" spans="2:8" ht="18">
      <c r="B394" s="1357"/>
      <c r="C394" s="1077"/>
      <c r="D394" s="1077"/>
      <c r="E394" s="1077"/>
      <c r="F394" s="1077"/>
      <c r="G394" s="81"/>
      <c r="H394" s="1324"/>
    </row>
    <row r="395" spans="2:8" ht="18">
      <c r="B395" s="1357" t="s">
        <v>2930</v>
      </c>
      <c r="C395" s="1077"/>
      <c r="D395" s="1077"/>
      <c r="E395" s="1077"/>
      <c r="F395" s="1077"/>
      <c r="G395" s="76"/>
      <c r="H395" s="1319"/>
    </row>
    <row r="396" spans="2:8" ht="18">
      <c r="B396" s="1358" t="s">
        <v>977</v>
      </c>
      <c r="C396" s="1077"/>
      <c r="D396" s="1077"/>
      <c r="E396" s="1077"/>
      <c r="F396" s="1077"/>
      <c r="G396" s="76"/>
      <c r="H396" s="1319"/>
    </row>
    <row r="397" spans="2:8" ht="18">
      <c r="B397" s="1359" t="s">
        <v>2778</v>
      </c>
      <c r="C397" s="1077"/>
      <c r="D397" s="1077"/>
      <c r="E397" s="1077"/>
      <c r="F397" s="1077"/>
      <c r="G397" s="76">
        <f>+DT!J24</f>
        <v>11158446.995069338</v>
      </c>
      <c r="H397" s="1319"/>
    </row>
    <row r="398" spans="2:8" ht="18">
      <c r="B398" s="1359" t="s">
        <v>2931</v>
      </c>
      <c r="C398" s="1077"/>
      <c r="D398" s="1077"/>
      <c r="E398" s="1077"/>
      <c r="F398" s="1077"/>
      <c r="G398" s="76">
        <f>DT!J21</f>
        <v>278054.30223999999</v>
      </c>
      <c r="H398" s="1319">
        <f>+[74]DT!$J$25</f>
        <v>659464.01664000005</v>
      </c>
    </row>
    <row r="399" spans="2:8" ht="18">
      <c r="B399" s="1357" t="s">
        <v>979</v>
      </c>
      <c r="C399" s="1077"/>
      <c r="D399" s="1077"/>
      <c r="E399" s="1077"/>
      <c r="F399" s="1077"/>
      <c r="G399" s="1582">
        <f>+G398+G397</f>
        <v>11436501.297309337</v>
      </c>
      <c r="H399" s="1825">
        <f>+H398</f>
        <v>659464.01664000005</v>
      </c>
    </row>
    <row r="400" spans="2:8" ht="18">
      <c r="B400" s="1357" t="s">
        <v>980</v>
      </c>
      <c r="C400" s="35"/>
      <c r="D400" s="35"/>
      <c r="E400" s="1958"/>
      <c r="F400" s="1958"/>
      <c r="G400" s="1583">
        <f>+G393-G399</f>
        <v>4105756.9186484311</v>
      </c>
      <c r="H400" s="1813">
        <f>+H393-H399</f>
        <v>16151128.949873626</v>
      </c>
    </row>
    <row r="401" spans="2:8" ht="18">
      <c r="B401" s="1357"/>
      <c r="C401" s="35"/>
      <c r="D401" s="35"/>
      <c r="E401" s="1958"/>
      <c r="F401" s="1958"/>
      <c r="G401" s="81"/>
      <c r="H401" s="1324"/>
    </row>
    <row r="402" spans="2:8" ht="18">
      <c r="B402" s="1283" t="s">
        <v>911</v>
      </c>
      <c r="C402" s="34"/>
      <c r="D402" s="34"/>
      <c r="E402" s="1958"/>
      <c r="F402" s="1959"/>
      <c r="G402" s="1583">
        <f>+G400</f>
        <v>4105756.9186484311</v>
      </c>
      <c r="H402" s="1813">
        <f>+H400</f>
        <v>16151128.949873626</v>
      </c>
    </row>
    <row r="403" spans="2:8" ht="18">
      <c r="B403" s="1283"/>
      <c r="C403" s="34"/>
      <c r="D403" s="34"/>
      <c r="E403" s="1958"/>
      <c r="F403" s="1959"/>
      <c r="G403" s="59"/>
      <c r="H403" s="1293"/>
    </row>
    <row r="404" spans="2:8" ht="18">
      <c r="B404" s="1310" t="s">
        <v>2803</v>
      </c>
      <c r="C404" s="68"/>
      <c r="D404" s="68"/>
      <c r="E404" s="68"/>
      <c r="F404" s="1959"/>
      <c r="G404" s="59"/>
      <c r="H404" s="1293"/>
    </row>
    <row r="405" spans="2:8" ht="18">
      <c r="B405" s="1310"/>
      <c r="C405" s="68"/>
      <c r="D405" s="68"/>
      <c r="E405" s="68"/>
      <c r="F405" s="1959"/>
      <c r="G405" s="59"/>
      <c r="H405" s="1293"/>
    </row>
    <row r="406" spans="2:8" ht="18">
      <c r="B406" s="1296" t="s">
        <v>969</v>
      </c>
      <c r="C406" s="2027"/>
      <c r="D406" s="2027"/>
      <c r="E406" s="2027"/>
      <c r="F406" s="1959"/>
      <c r="G406" s="59"/>
      <c r="H406" s="1293"/>
    </row>
    <row r="407" spans="2:8" ht="18">
      <c r="B407" s="1361" t="s">
        <v>997</v>
      </c>
      <c r="C407" s="73"/>
      <c r="D407" s="73"/>
      <c r="E407" s="73"/>
      <c r="F407" s="1959"/>
      <c r="G407" s="59"/>
      <c r="H407" s="1293"/>
    </row>
    <row r="408" spans="2:8" ht="18">
      <c r="B408" s="1318" t="s">
        <v>998</v>
      </c>
      <c r="C408" s="2040"/>
      <c r="D408" s="2040"/>
      <c r="E408" s="2040"/>
      <c r="F408" s="2024"/>
      <c r="G408" s="69">
        <f>+SUM('TL &amp; intt.'!M26:M29)</f>
        <v>15500000</v>
      </c>
      <c r="H408" s="1312">
        <v>15500000</v>
      </c>
    </row>
    <row r="409" spans="2:8" ht="18">
      <c r="B409" s="1318" t="s">
        <v>999</v>
      </c>
      <c r="C409" s="2040"/>
      <c r="D409" s="2040"/>
      <c r="E409" s="2040"/>
      <c r="F409" s="2024"/>
      <c r="G409" s="69">
        <f>+'TL &amp; intt.'!H6+'TL &amp; intt.'!H5+'TL &amp; intt.'!B90</f>
        <v>7500016</v>
      </c>
      <c r="H409" s="1312">
        <v>4866672</v>
      </c>
    </row>
    <row r="410" spans="2:8" ht="18">
      <c r="B410" s="1318"/>
      <c r="C410" s="2040"/>
      <c r="D410" s="2040"/>
      <c r="E410" s="2040"/>
      <c r="F410" s="2024"/>
      <c r="G410" s="69"/>
      <c r="H410" s="1312"/>
    </row>
    <row r="411" spans="2:8" ht="18">
      <c r="B411" s="1362" t="s">
        <v>981</v>
      </c>
      <c r="C411" s="2030"/>
      <c r="D411" s="2030"/>
      <c r="E411" s="2030"/>
      <c r="F411" s="1959"/>
      <c r="G411" s="59"/>
      <c r="H411" s="1293"/>
    </row>
    <row r="412" spans="2:8" ht="18">
      <c r="B412" s="1363" t="s">
        <v>982</v>
      </c>
      <c r="C412" s="2030"/>
      <c r="D412" s="2030"/>
      <c r="E412" s="2030"/>
      <c r="F412" s="1959"/>
      <c r="G412" s="59">
        <f>+GETPIVOTDATA("Sum of Cr. Final 22-23",Pivot!$A$3,"Note",16,"BS Main Head","Short Term Borrowings","BS Sub Head","Secured - From Banks - Working Capital Loan")</f>
        <v>78274677.280000001</v>
      </c>
      <c r="H412" s="1293">
        <f>+GETPIVOTDATA("Sum of Cr. Final 21-22",Pivot!$A$3,"Note",16,"BS Main Head","Short Term Borrowings")</f>
        <v>56842407.57</v>
      </c>
    </row>
    <row r="413" spans="2:8" ht="39" customHeight="1">
      <c r="B413" s="2170" t="s">
        <v>3127</v>
      </c>
      <c r="C413" s="2171"/>
      <c r="D413" s="2171"/>
      <c r="E413" s="2171"/>
      <c r="F413" s="2171"/>
      <c r="G413" s="69"/>
      <c r="H413" s="1312"/>
    </row>
    <row r="414" spans="2:8" ht="39" customHeight="1">
      <c r="B414" s="2170"/>
      <c r="C414" s="2171"/>
      <c r="D414" s="2171"/>
      <c r="E414" s="2171"/>
      <c r="F414" s="2171"/>
      <c r="G414" s="69"/>
      <c r="H414" s="1312"/>
    </row>
    <row r="415" spans="2:8" ht="18">
      <c r="B415" s="1294"/>
      <c r="C415" s="2004"/>
      <c r="D415" s="2004"/>
      <c r="E415" s="2004"/>
      <c r="F415" s="1959"/>
      <c r="G415" s="1548">
        <f>+SUM(G408:G414)</f>
        <v>101274693.28</v>
      </c>
      <c r="H415" s="1791">
        <f>+SUM(H408:H414)</f>
        <v>77209079.569999993</v>
      </c>
    </row>
    <row r="416" spans="2:8" ht="18">
      <c r="B416" s="1310" t="s">
        <v>2804</v>
      </c>
      <c r="C416" s="2041"/>
      <c r="D416" s="2041"/>
      <c r="E416" s="2041"/>
      <c r="F416" s="1959"/>
      <c r="G416" s="59"/>
      <c r="H416" s="1293"/>
    </row>
    <row r="417" spans="2:9" ht="18">
      <c r="B417" s="1285" t="s">
        <v>2932</v>
      </c>
      <c r="C417" s="2041"/>
      <c r="D417" s="2041"/>
      <c r="E417" s="2041"/>
      <c r="F417" s="1959"/>
      <c r="G417" s="59"/>
      <c r="H417" s="1293"/>
    </row>
    <row r="418" spans="2:9" ht="18">
      <c r="B418" s="1318" t="s">
        <v>983</v>
      </c>
      <c r="C418" s="2041"/>
      <c r="D418" s="2041"/>
      <c r="E418" s="2041"/>
      <c r="F418" s="1959"/>
      <c r="G418" s="59">
        <f>+SUMIF('MSME 22-23'!E:E,"MSME",'MSME 22-23'!I:I)</f>
        <v>13822219.5</v>
      </c>
      <c r="H418" s="1293">
        <v>0</v>
      </c>
    </row>
    <row r="419" spans="2:9" ht="18">
      <c r="B419" s="1318" t="s">
        <v>984</v>
      </c>
      <c r="C419" s="2041"/>
      <c r="D419" s="2041"/>
      <c r="E419" s="2041"/>
      <c r="F419" s="1959"/>
      <c r="G419" s="59">
        <f>+GETPIVOTDATA("Sum of Cr. Final 22-23",Pivot!$A$3,"Note",17,"BS Main Head","Trade Payables")-GETPIVOTDATA("Sum of Dr. Final 22-23",Pivot!$A$3,"Note",17,"BS Main Head","Trade Payables")-G418</f>
        <v>77775702.490151003</v>
      </c>
      <c r="H419" s="1293">
        <f>+GETPIVOTDATA("Sum of Cr. Final 21-22",Pivot!$A$3,"Note",17,"BS Main Head","Trade Payables","BS Sub Head","Trade Payables")-GETPIVOTDATA("Sum of Dr. Final 21-22",Pivot!$A$3,"Note",17,"BS Main Head","Trade Payables","BS Sub Head","Trade Payables")+GETPIVOTDATA("Sum of Cr. Final 21-22",Pivot!$A$3,"Note",17,"BS Main Head","Trade Payables","BS Sub Head","Trade Payables - Others")-GETPIVOTDATA("Sum of Dr. Final 21-22",Pivot!$A$3,"Note",17,"BS Main Head","Trade Payables","BS Sub Head","Trade Payables - Others")</f>
        <v>87356478.839999989</v>
      </c>
      <c r="I419" s="767"/>
    </row>
    <row r="420" spans="2:9" ht="18">
      <c r="B420" s="1558"/>
      <c r="C420" s="1559"/>
      <c r="D420" s="1559"/>
      <c r="E420" s="1559"/>
      <c r="F420" s="38"/>
      <c r="G420" s="1548">
        <f>+SUM(G418:G419)</f>
        <v>91597921.990151003</v>
      </c>
      <c r="H420" s="1791">
        <f>+SUM(H418:H419)</f>
        <v>87356478.839999989</v>
      </c>
    </row>
    <row r="421" spans="2:9">
      <c r="B421" s="2108" t="s">
        <v>3137</v>
      </c>
      <c r="C421" s="2109"/>
      <c r="D421" s="2109"/>
      <c r="E421" s="2109"/>
      <c r="F421" s="2109"/>
      <c r="G421" s="2109"/>
      <c r="H421" s="2172"/>
    </row>
    <row r="422" spans="2:9" ht="28.2" customHeight="1">
      <c r="B422" s="2108"/>
      <c r="C422" s="2109"/>
      <c r="D422" s="2109"/>
      <c r="E422" s="2109"/>
      <c r="F422" s="2109"/>
      <c r="G422" s="2109"/>
      <c r="H422" s="2172"/>
    </row>
    <row r="423" spans="2:9">
      <c r="B423" s="2108"/>
      <c r="C423" s="2109"/>
      <c r="D423" s="2109"/>
      <c r="E423" s="2109"/>
      <c r="F423" s="2109"/>
      <c r="G423" s="2109"/>
      <c r="H423" s="2172"/>
    </row>
    <row r="424" spans="2:9" ht="18">
      <c r="B424" s="2175" t="s">
        <v>532</v>
      </c>
      <c r="C424" s="2176"/>
      <c r="D424" s="2179" t="s">
        <v>906</v>
      </c>
      <c r="E424" s="2180"/>
      <c r="F424" s="2180"/>
      <c r="G424" s="2180"/>
      <c r="H424" s="2181"/>
    </row>
    <row r="425" spans="2:9" ht="18">
      <c r="B425" s="2175"/>
      <c r="C425" s="2176"/>
      <c r="D425" s="1760" t="s">
        <v>989</v>
      </c>
      <c r="E425" s="1760" t="s">
        <v>907</v>
      </c>
      <c r="F425" s="1550" t="s">
        <v>908</v>
      </c>
      <c r="G425" s="1548" t="s">
        <v>909</v>
      </c>
      <c r="H425" s="1791" t="s">
        <v>910</v>
      </c>
    </row>
    <row r="426" spans="2:9" ht="18">
      <c r="B426" s="1826" t="s">
        <v>985</v>
      </c>
      <c r="C426" s="1762"/>
      <c r="D426" s="1761">
        <v>0</v>
      </c>
      <c r="E426" s="1761">
        <f>+SUM('[76]CG CR LIST '!$J$10:$J$13)+'[76]CG CR LIST '!$N$20+'[76]CG CR LIST '!$N$23+'[76]CG CR LIST '!$J$32+'[76]CG CR LIST '!$F$38+'[76]EXP CR LIST '!$F$9+'[76]EXP CR LIST '!$F$155+'[76]EXP CR LIST '!$F$53+'[76]EXP CR LIST '!$F$90+'[76]EXP CR LIST '!$F$98+'[76]GOODS CR LIST '!$F$246+'[76]GOODS CR LIST '!$F$674+'[76]GOODS CR LIST '!$F$794+'[76]GOODS CR LIST '!$J$950+'[76]TRANS CR LIST '!$F$24</f>
        <v>13606704.5</v>
      </c>
      <c r="F426" s="1551">
        <f>+'[76]CG CR LIST '!$O$19</f>
        <v>215515</v>
      </c>
      <c r="G426" s="1551">
        <v>0</v>
      </c>
      <c r="H426" s="1817">
        <v>0</v>
      </c>
    </row>
    <row r="427" spans="2:9" ht="18">
      <c r="B427" s="1826" t="s">
        <v>986</v>
      </c>
      <c r="C427" s="1762"/>
      <c r="D427" s="1761">
        <v>0</v>
      </c>
      <c r="E427" s="1761">
        <f>+G419</f>
        <v>77775702.490151003</v>
      </c>
      <c r="F427" s="1551">
        <v>0</v>
      </c>
      <c r="G427" s="1551">
        <v>0</v>
      </c>
      <c r="H427" s="1817">
        <v>0</v>
      </c>
    </row>
    <row r="428" spans="2:9" ht="18">
      <c r="B428" s="1826" t="s">
        <v>987</v>
      </c>
      <c r="C428" s="1762"/>
      <c r="D428" s="1761">
        <v>0</v>
      </c>
      <c r="E428" s="1584">
        <v>0</v>
      </c>
      <c r="F428" s="1551">
        <v>0</v>
      </c>
      <c r="G428" s="1551">
        <v>0</v>
      </c>
      <c r="H428" s="1817">
        <v>0</v>
      </c>
    </row>
    <row r="429" spans="2:9" ht="18">
      <c r="B429" s="1826" t="s">
        <v>988</v>
      </c>
      <c r="C429" s="1762"/>
      <c r="D429" s="1761">
        <v>0</v>
      </c>
      <c r="E429" s="1585">
        <v>0</v>
      </c>
      <c r="F429" s="1551">
        <v>0</v>
      </c>
      <c r="G429" s="1551">
        <v>0</v>
      </c>
      <c r="H429" s="1817">
        <v>0</v>
      </c>
    </row>
    <row r="430" spans="2:9" ht="18">
      <c r="B430" s="1827"/>
      <c r="C430" s="1794"/>
      <c r="D430" s="1792"/>
      <c r="E430" s="1792"/>
      <c r="F430" s="1769"/>
      <c r="G430" s="1793"/>
      <c r="H430" s="1251"/>
    </row>
    <row r="431" spans="2:9" ht="18">
      <c r="B431" s="2173" t="s">
        <v>532</v>
      </c>
      <c r="C431" s="2177"/>
      <c r="D431" s="2179" t="s">
        <v>916</v>
      </c>
      <c r="E431" s="2180"/>
      <c r="F431" s="2180"/>
      <c r="G431" s="2180"/>
      <c r="H431" s="2181"/>
    </row>
    <row r="432" spans="2:9" ht="18">
      <c r="B432" s="2173"/>
      <c r="C432" s="2178"/>
      <c r="D432" s="1760" t="s">
        <v>989</v>
      </c>
      <c r="E432" s="1549" t="s">
        <v>907</v>
      </c>
      <c r="F432" s="1550" t="s">
        <v>908</v>
      </c>
      <c r="G432" s="1548" t="s">
        <v>909</v>
      </c>
      <c r="H432" s="1791" t="s">
        <v>909</v>
      </c>
    </row>
    <row r="433" spans="2:9" ht="18">
      <c r="B433" s="1826" t="s">
        <v>985</v>
      </c>
      <c r="C433" s="1762"/>
      <c r="D433" s="1761">
        <v>0</v>
      </c>
      <c r="E433" s="1551">
        <v>25362945.699999999</v>
      </c>
      <c r="F433" s="1551">
        <v>0</v>
      </c>
      <c r="G433" s="1551">
        <v>0</v>
      </c>
      <c r="H433" s="1817">
        <v>0</v>
      </c>
    </row>
    <row r="434" spans="2:9" ht="18">
      <c r="B434" s="1826" t="s">
        <v>986</v>
      </c>
      <c r="C434" s="1762"/>
      <c r="D434" s="1761">
        <v>0</v>
      </c>
      <c r="E434" s="1551">
        <v>61993533.139999986</v>
      </c>
      <c r="F434" s="1551">
        <v>0</v>
      </c>
      <c r="G434" s="1551">
        <v>0</v>
      </c>
      <c r="H434" s="1817">
        <v>0</v>
      </c>
    </row>
    <row r="435" spans="2:9" ht="18">
      <c r="B435" s="1826" t="s">
        <v>987</v>
      </c>
      <c r="C435" s="1762"/>
      <c r="D435" s="1761">
        <v>0</v>
      </c>
      <c r="E435" s="1551">
        <v>0</v>
      </c>
      <c r="F435" s="1551">
        <v>0</v>
      </c>
      <c r="G435" s="1551">
        <v>0</v>
      </c>
      <c r="H435" s="1817">
        <v>0</v>
      </c>
    </row>
    <row r="436" spans="2:9" ht="18">
      <c r="B436" s="1826" t="s">
        <v>988</v>
      </c>
      <c r="C436" s="1762"/>
      <c r="D436" s="1761">
        <v>0</v>
      </c>
      <c r="E436" s="1551">
        <v>0</v>
      </c>
      <c r="F436" s="1551">
        <v>0</v>
      </c>
      <c r="G436" s="1551">
        <v>0</v>
      </c>
      <c r="H436" s="1817">
        <v>0</v>
      </c>
    </row>
    <row r="437" spans="2:9" ht="18">
      <c r="B437" s="1364"/>
      <c r="C437" s="2033"/>
      <c r="D437" s="2033"/>
      <c r="E437" s="2033"/>
      <c r="F437" s="2033"/>
      <c r="G437" s="2033"/>
      <c r="H437" s="1365"/>
    </row>
    <row r="438" spans="2:9" ht="36.75" customHeight="1">
      <c r="B438" s="2161" t="s">
        <v>990</v>
      </c>
      <c r="C438" s="2162"/>
      <c r="D438" s="2162"/>
      <c r="E438" s="2162"/>
      <c r="F438" s="2162"/>
      <c r="G438" s="2069" t="s">
        <v>991</v>
      </c>
      <c r="H438" s="1736" t="s">
        <v>992</v>
      </c>
    </row>
    <row r="439" spans="2:9" ht="18">
      <c r="B439" s="2163" t="s">
        <v>993</v>
      </c>
      <c r="C439" s="2164"/>
      <c r="D439" s="2164"/>
      <c r="E439" s="2164"/>
      <c r="F439" s="2165"/>
      <c r="G439" s="1537">
        <f>+'MSME Int'!C6+'MSME Int'!C16+'MSME Int'!C21+'MSME Int'!C24+'MSME Int'!C30</f>
        <v>771530</v>
      </c>
      <c r="H439" s="1538">
        <f>+H418</f>
        <v>0</v>
      </c>
    </row>
    <row r="440" spans="2:9" ht="18">
      <c r="B440" s="2163" t="s">
        <v>994</v>
      </c>
      <c r="C440" s="2164"/>
      <c r="D440" s="2164"/>
      <c r="E440" s="2164"/>
      <c r="F440" s="2165"/>
      <c r="G440" s="1539">
        <v>0</v>
      </c>
      <c r="H440" s="1540">
        <v>0</v>
      </c>
    </row>
    <row r="441" spans="2:9" ht="18">
      <c r="B441" s="1828"/>
      <c r="C441" s="1541"/>
      <c r="D441" s="1541"/>
      <c r="E441" s="1541"/>
      <c r="F441" s="1542"/>
      <c r="G441" s="1539"/>
      <c r="H441" s="1540"/>
    </row>
    <row r="442" spans="2:9" ht="59.25" customHeight="1">
      <c r="B442" s="2166" t="s">
        <v>2933</v>
      </c>
      <c r="C442" s="2167"/>
      <c r="D442" s="2167"/>
      <c r="E442" s="2167"/>
      <c r="F442" s="2167"/>
      <c r="G442" s="2070">
        <v>0</v>
      </c>
      <c r="H442" s="2071">
        <v>0</v>
      </c>
    </row>
    <row r="443" spans="2:9" ht="58.5" customHeight="1">
      <c r="B443" s="2166" t="s">
        <v>2934</v>
      </c>
      <c r="C443" s="2167"/>
      <c r="D443" s="2167"/>
      <c r="E443" s="2167"/>
      <c r="F443" s="2167"/>
      <c r="G443" s="2070">
        <v>0</v>
      </c>
      <c r="H443" s="2071">
        <v>0</v>
      </c>
    </row>
    <row r="444" spans="2:9" ht="39.75" customHeight="1">
      <c r="B444" s="2166" t="s">
        <v>995</v>
      </c>
      <c r="C444" s="2167"/>
      <c r="D444" s="2167"/>
      <c r="E444" s="2167"/>
      <c r="F444" s="2167"/>
      <c r="G444" s="2070">
        <v>0</v>
      </c>
      <c r="H444" s="2071">
        <v>0</v>
      </c>
    </row>
    <row r="445" spans="2:9" ht="78.75" customHeight="1" thickBot="1">
      <c r="B445" s="2153" t="s">
        <v>996</v>
      </c>
      <c r="C445" s="2154"/>
      <c r="D445" s="2154"/>
      <c r="E445" s="2154"/>
      <c r="F445" s="2154"/>
      <c r="G445" s="2072">
        <v>0</v>
      </c>
      <c r="H445" s="2073">
        <v>0</v>
      </c>
    </row>
    <row r="446" spans="2:9" ht="18">
      <c r="B446" s="2102" t="s">
        <v>785</v>
      </c>
      <c r="C446" s="2103"/>
      <c r="D446" s="2103"/>
      <c r="E446" s="2103"/>
      <c r="F446" s="2103"/>
      <c r="G446" s="2103"/>
      <c r="H446" s="2104"/>
      <c r="I446" s="768"/>
    </row>
    <row r="447" spans="2:9" ht="18">
      <c r="B447" s="2124" t="s">
        <v>2241</v>
      </c>
      <c r="C447" s="2125"/>
      <c r="D447" s="2125"/>
      <c r="E447" s="2125"/>
      <c r="F447" s="2125"/>
      <c r="G447" s="2125"/>
      <c r="H447" s="2126"/>
      <c r="I447" s="768"/>
    </row>
    <row r="448" spans="2:9" ht="18">
      <c r="B448" s="1422"/>
      <c r="C448" s="1952"/>
      <c r="D448" s="1952"/>
      <c r="E448" s="1952"/>
      <c r="F448" s="1952"/>
      <c r="G448" s="1952"/>
      <c r="H448" s="1532"/>
      <c r="I448" s="768"/>
    </row>
    <row r="449" spans="2:14" ht="18">
      <c r="B449" s="1287" t="s">
        <v>0</v>
      </c>
      <c r="C449" s="1288"/>
      <c r="D449" s="1288"/>
      <c r="E449" s="1288"/>
      <c r="F449" s="1581"/>
      <c r="G449" s="1237" t="s">
        <v>788</v>
      </c>
      <c r="H449" s="1238" t="s">
        <v>788</v>
      </c>
    </row>
    <row r="450" spans="2:14" ht="18">
      <c r="B450" s="1269"/>
      <c r="C450" s="55"/>
      <c r="D450" s="55"/>
      <c r="E450" s="55"/>
      <c r="F450" s="56"/>
      <c r="G450" s="41" t="str">
        <f>+G383</f>
        <v>March 31, 2023 (₹)</v>
      </c>
      <c r="H450" s="1272" t="str">
        <f>+H383</f>
        <v>March 31, 2022 (₹)</v>
      </c>
    </row>
    <row r="451" spans="2:14" ht="18">
      <c r="B451" s="1318"/>
      <c r="C451" s="2041"/>
      <c r="D451" s="2041"/>
      <c r="E451" s="2041"/>
      <c r="F451" s="1959"/>
      <c r="G451" s="59"/>
      <c r="H451" s="1293"/>
    </row>
    <row r="452" spans="2:14" ht="18">
      <c r="B452" s="1318"/>
      <c r="C452" s="2041"/>
      <c r="D452" s="2041"/>
      <c r="E452" s="2041"/>
      <c r="F452" s="1959"/>
      <c r="G452" s="59"/>
      <c r="H452" s="1293"/>
    </row>
    <row r="453" spans="2:14" ht="18">
      <c r="B453" s="1325" t="s">
        <v>2805</v>
      </c>
      <c r="C453" s="73"/>
      <c r="D453" s="73"/>
      <c r="E453" s="73"/>
      <c r="F453" s="1959"/>
      <c r="G453" s="59"/>
      <c r="H453" s="1293"/>
    </row>
    <row r="454" spans="2:14" ht="18">
      <c r="B454" s="1318"/>
      <c r="C454" s="2040"/>
      <c r="D454" s="2040"/>
      <c r="E454" s="2040"/>
      <c r="F454" s="1959"/>
      <c r="G454" s="59"/>
      <c r="H454" s="1293"/>
    </row>
    <row r="455" spans="2:14" ht="18">
      <c r="B455" s="1318" t="s">
        <v>2393</v>
      </c>
      <c r="C455" s="2040"/>
      <c r="D455" s="2040"/>
      <c r="E455" s="2040"/>
      <c r="F455" s="1959"/>
      <c r="G455" s="59">
        <f>+GETPIVOTDATA("Sum of Cr. Final 22-23",Pivot!$A$3,"Note",,"BS Main Head","Other Current Liabilities","BS Sub Head","Trade Payables for capital goods")-GETPIVOTDATA("Sum of Dr. Final 22-23",Pivot!$A$3,"Note",,"BS Main Head","Other Current Liabilities","BS Sub Head","Trade Payables for capital goods")</f>
        <v>5310167</v>
      </c>
      <c r="H455" s="1293">
        <v>0</v>
      </c>
      <c r="K455" s="504"/>
      <c r="L455" s="504"/>
      <c r="M455" s="504"/>
      <c r="N455" s="504"/>
    </row>
    <row r="456" spans="2:14" ht="18">
      <c r="B456" s="1316" t="s">
        <v>369</v>
      </c>
      <c r="C456" s="2040"/>
      <c r="D456" s="2040"/>
      <c r="E456" s="2040"/>
      <c r="F456" s="93"/>
      <c r="G456" s="59">
        <f>+GETPIVOTDATA("Sum of Cr. Final 22-23",Pivot!$A$3,"Note",18,"BS Main Head","Other Financial Liabilities - Current","BS Sub Head","Employee Payables")</f>
        <v>1087441</v>
      </c>
      <c r="H456" s="1293">
        <f>+GETPIVOTDATA("Sum of Cr. Final 21-22",Pivot!$A$3,"Note",18,"BS Main Head","Other Financial Liabilities - Current","BS Sub Head","Employee Payables")</f>
        <v>1152229</v>
      </c>
      <c r="I456" s="767"/>
    </row>
    <row r="457" spans="2:14" ht="18">
      <c r="B457" s="1368"/>
      <c r="C457" s="2040"/>
      <c r="D457" s="2040"/>
      <c r="E457" s="2040"/>
      <c r="F457" s="1959"/>
      <c r="G457" s="1548">
        <f>+SUM(G455:G456)</f>
        <v>6397608</v>
      </c>
      <c r="H457" s="1791">
        <f>+SUM(H455:H456)</f>
        <v>1152229</v>
      </c>
      <c r="I457" s="767"/>
    </row>
    <row r="458" spans="2:14" ht="18">
      <c r="B458" s="1325" t="s">
        <v>2806</v>
      </c>
      <c r="C458" s="2040"/>
      <c r="D458" s="2040"/>
      <c r="E458" s="2040"/>
      <c r="F458" s="1959"/>
      <c r="G458" s="59"/>
      <c r="H458" s="1293"/>
    </row>
    <row r="459" spans="2:14" ht="18">
      <c r="B459" s="1369" t="s">
        <v>96</v>
      </c>
      <c r="C459" s="2040"/>
      <c r="D459" s="2040"/>
      <c r="E459" s="2040"/>
      <c r="F459" s="1959"/>
      <c r="G459" s="59">
        <f>+GETPIVOTDATA("Sum of Cr. Final 22-23",Pivot!$A$3,"Note",19,"BS Main Head","Other Current Liabilities","BS Sub Head","GST")-GETPIVOTDATA("Sum of Dr. Final 22-23",Pivot!$A$3,"Note",19,"BS Main Head","Other Current Liabilities","BS Sub Head","GST")</f>
        <v>1648919.9999999991</v>
      </c>
      <c r="H459" s="1293">
        <f>+GETPIVOTDATA("Sum of Cr. Final 21-22",Pivot!$A$3,"Note",19,"BS Main Head","Other Current Liabilities","BS Sub Head","GST")-GETPIVOTDATA("Sum of Dr. Final 21-22",Pivot!$A$3,"Note",19,"BS Main Head","Other Current Liabilities","BS Sub Head","GST")</f>
        <v>5965816.7399999993</v>
      </c>
    </row>
    <row r="460" spans="2:14" ht="18">
      <c r="B460" s="1370" t="s">
        <v>114</v>
      </c>
      <c r="C460" s="2040"/>
      <c r="D460" s="2040"/>
      <c r="E460" s="2040"/>
      <c r="F460" s="93"/>
      <c r="G460" s="59">
        <f>+GETPIVOTDATA("Sum of Cr. Final 22-23",Pivot!$A$3,"PARTICULARS","Professional Tax Payable","Note",19,"BS Main Head","Other Current Liabilities","BS Sub Head","Profession Tax")+GETPIVOTDATA("Sum of Cr. Final 22-23",Pivot!$A$3,"Note",19,"BS Main Head","Other Current Liabilities","BS Sub Head","Statutory Dues")</f>
        <v>663611.86</v>
      </c>
      <c r="H460" s="1293">
        <f>+GETPIVOTDATA("Sum of Cr. Final 21-22",Pivot!$A$3,"Note",19,"BS Main Head","Other Current Liabilities","BS Sub Head","Statutory Dues")-GETPIVOTDATA("Sum of Dr. Final 21-22",Pivot!$A$3,"Note",19,"BS Main Head","Other Current Liabilities","BS Sub Head","Statutory Dues")</f>
        <v>602553.26</v>
      </c>
    </row>
    <row r="461" spans="2:14" ht="18">
      <c r="B461" s="1368"/>
      <c r="C461" s="2040"/>
      <c r="D461" s="2040"/>
      <c r="E461" s="2040"/>
      <c r="F461" s="1959"/>
      <c r="G461" s="1548">
        <f>+SUM(G459:G460)</f>
        <v>2312531.8599999989</v>
      </c>
      <c r="H461" s="1791">
        <f>+SUM(H459+H460)</f>
        <v>6568369.9999999991</v>
      </c>
    </row>
    <row r="462" spans="2:14" ht="18">
      <c r="B462" s="1325" t="s">
        <v>2807</v>
      </c>
      <c r="C462" s="2040"/>
      <c r="D462" s="2040"/>
      <c r="E462" s="2040"/>
      <c r="F462" s="1959"/>
      <c r="G462" s="59"/>
      <c r="H462" s="1293"/>
    </row>
    <row r="463" spans="2:14" ht="18">
      <c r="B463" s="1369"/>
      <c r="C463" s="2040"/>
      <c r="D463" s="2040"/>
      <c r="E463" s="2040"/>
      <c r="F463" s="1959"/>
      <c r="G463" s="59"/>
      <c r="H463" s="1293"/>
    </row>
    <row r="464" spans="2:14" ht="18">
      <c r="B464" s="1363" t="s">
        <v>1001</v>
      </c>
      <c r="C464" s="2042"/>
      <c r="D464" s="2042"/>
      <c r="E464" s="2042"/>
      <c r="F464" s="75"/>
      <c r="G464" s="59">
        <f>+GETPIVOTDATA("Sum of Cr. Final 22-23",Pivot!$A$3,"Note",20,"BS Main Head","Short Term Provisions")-GETPIVOTDATA("Sum of Dr. Final 22-23",Pivot!$A$3,"Note",20,"BS Main Head","Short Term Provisions")</f>
        <v>233275</v>
      </c>
      <c r="H464" s="1293">
        <f>+GETPIVOTDATA("Sum of Cr. Final 21-22",Pivot!$A$3,"Note",20,"BS Main Head","Short Term Provisions")-GETPIVOTDATA("Sum of Dr. Final 21-22",Pivot!$A$3,"Note",20,"BS Main Head","Short Term Provisions")</f>
        <v>1708016</v>
      </c>
    </row>
    <row r="465" spans="2:15" ht="18">
      <c r="B465" s="1363" t="s">
        <v>1002</v>
      </c>
      <c r="C465" s="2042"/>
      <c r="D465" s="2042"/>
      <c r="E465" s="2042"/>
      <c r="F465" s="75"/>
      <c r="G465" s="21">
        <v>1776300</v>
      </c>
      <c r="H465" s="1248">
        <v>1702520</v>
      </c>
    </row>
    <row r="466" spans="2:15" ht="18">
      <c r="B466" s="1368"/>
      <c r="C466" s="2040"/>
      <c r="D466" s="2040"/>
      <c r="E466" s="2040"/>
      <c r="F466" s="1959"/>
      <c r="G466" s="1577">
        <f>+SUM(G463:G465)</f>
        <v>2009575</v>
      </c>
      <c r="H466" s="1578">
        <f>+SUM(H463:H465)</f>
        <v>3410536</v>
      </c>
    </row>
    <row r="467" spans="2:15" ht="18">
      <c r="B467" s="1325" t="s">
        <v>2808</v>
      </c>
      <c r="C467" s="35"/>
      <c r="D467" s="35"/>
      <c r="E467" s="35"/>
      <c r="F467" s="2014"/>
      <c r="G467" s="20"/>
      <c r="H467" s="1246"/>
    </row>
    <row r="468" spans="2:15" ht="18">
      <c r="B468" s="1315" t="s">
        <v>1003</v>
      </c>
      <c r="C468" s="35"/>
      <c r="D468" s="35"/>
      <c r="E468" s="35"/>
      <c r="F468" s="2014"/>
      <c r="G468" s="20"/>
      <c r="H468" s="1246"/>
    </row>
    <row r="469" spans="2:15" ht="18">
      <c r="B469" s="1371" t="s">
        <v>1004</v>
      </c>
      <c r="C469" s="35"/>
      <c r="D469" s="35"/>
      <c r="E469" s="35"/>
      <c r="F469" s="2014"/>
      <c r="G469" s="18">
        <f>+GETPIVOTDATA("Sum of Cr. Final 22-23",Pivot!$A$3,"Note",21,"BS Main Head","Revenue From Operations","BS Sub Head","Sale of Goods - Manufacturing Sales")-GETPIVOTDATA("Sum of Dr. Final 22-23",Pivot!$A$3,"Note",21,"BS Main Head","Revenue From Operations","BS Sub Head","Sale of Goods - Manufacturing Sales")</f>
        <v>1042874202.4200001</v>
      </c>
      <c r="H469" s="1244">
        <v>1114588510.75</v>
      </c>
    </row>
    <row r="470" spans="2:15" ht="18">
      <c r="B470" s="1372"/>
      <c r="C470" s="35"/>
      <c r="D470" s="35"/>
      <c r="E470" s="35"/>
      <c r="F470" s="2014"/>
      <c r="G470" s="23"/>
      <c r="H470" s="1251"/>
    </row>
    <row r="471" spans="2:15" ht="18">
      <c r="B471" s="1373" t="s">
        <v>1005</v>
      </c>
      <c r="C471" s="35"/>
      <c r="D471" s="35"/>
      <c r="E471" s="35"/>
      <c r="F471" s="2014"/>
      <c r="G471" s="20"/>
      <c r="H471" s="1246"/>
    </row>
    <row r="472" spans="2:15" ht="18">
      <c r="B472" s="1372" t="s">
        <v>1006</v>
      </c>
      <c r="C472" s="35"/>
      <c r="D472" s="35"/>
      <c r="E472" s="35"/>
      <c r="F472" s="2014"/>
      <c r="G472" s="21">
        <f>+GETPIVOTDATA("Sum of Cr. Final 22-23",Pivot!$A$3,"Note",21,"BS Main Head","Revenue From Operations","BS Sub Head","PSI Subsidy")</f>
        <v>9443500</v>
      </c>
      <c r="H472" s="1248">
        <v>9433000</v>
      </c>
    </row>
    <row r="473" spans="2:15" ht="18">
      <c r="B473" s="1374"/>
      <c r="C473" s="35"/>
      <c r="D473" s="35"/>
      <c r="E473" s="35"/>
      <c r="F473" s="2014"/>
      <c r="G473" s="20"/>
      <c r="H473" s="1246"/>
    </row>
    <row r="474" spans="2:15" ht="18">
      <c r="B474" s="1283"/>
      <c r="C474" s="35"/>
      <c r="D474" s="35"/>
      <c r="E474" s="35"/>
      <c r="F474" s="2014"/>
      <c r="G474" s="1548">
        <f>+G469+G472</f>
        <v>1052317702.4200001</v>
      </c>
      <c r="H474" s="1548">
        <f>+H469+H472</f>
        <v>1124021510.75</v>
      </c>
    </row>
    <row r="475" spans="2:15" ht="18">
      <c r="B475" s="1310" t="s">
        <v>2809</v>
      </c>
      <c r="C475" s="35"/>
      <c r="D475" s="35"/>
      <c r="E475" s="35"/>
      <c r="F475" s="1959"/>
      <c r="G475" s="59"/>
      <c r="H475" s="1293"/>
      <c r="J475" t="s">
        <v>2791</v>
      </c>
    </row>
    <row r="476" spans="2:15" ht="18">
      <c r="B476" s="1297" t="s">
        <v>1007</v>
      </c>
      <c r="C476" s="34"/>
      <c r="D476" s="34"/>
      <c r="E476" s="34"/>
      <c r="F476" s="1959"/>
      <c r="G476" s="59">
        <f>+GETPIVOTDATA("Sum of Cr. Final 22-23",Pivot!$A$3,"Note",22,"BS Main Head","Other Income","BS Sub Head","Foreign Exchange Fluctuation Gain on RM")</f>
        <v>889167.66984900087</v>
      </c>
      <c r="H476" s="1293">
        <v>1231216</v>
      </c>
      <c r="J476" s="1081" t="s">
        <v>2792</v>
      </c>
      <c r="K476" s="1082" t="s">
        <v>2793</v>
      </c>
      <c r="L476" s="1082" t="s">
        <v>2730</v>
      </c>
      <c r="M476" s="1082" t="s">
        <v>2794</v>
      </c>
      <c r="N476" s="1082" t="s">
        <v>2796</v>
      </c>
      <c r="O476" s="1082" t="s">
        <v>2795</v>
      </c>
    </row>
    <row r="477" spans="2:15" ht="18">
      <c r="B477" s="1297" t="s">
        <v>1008</v>
      </c>
      <c r="C477" s="34"/>
      <c r="D477" s="34"/>
      <c r="E477" s="34"/>
      <c r="F477" s="1959"/>
      <c r="G477" s="59">
        <f>+GETPIVOTDATA("Sum of Cr. Final 22-23",Pivot!$A$3,"Note",22,"BS Main Head","Other Income","BS Sub Head","Interest Received")</f>
        <v>202145.39</v>
      </c>
      <c r="H477" s="1293">
        <v>160002.60999999999</v>
      </c>
      <c r="J477" s="1081" t="s">
        <v>42</v>
      </c>
      <c r="K477" s="1082">
        <f>+N931</f>
        <v>46366.25</v>
      </c>
      <c r="L477" s="1083">
        <v>82.216899999999995</v>
      </c>
      <c r="M477" s="1082">
        <f>+K477*L477</f>
        <v>3812089.3396249996</v>
      </c>
      <c r="N477" s="1082">
        <v>3880855</v>
      </c>
      <c r="O477" s="1084">
        <f>+N477-M477</f>
        <v>68765.660375000443</v>
      </c>
    </row>
    <row r="478" spans="2:15" ht="18.600000000000001" thickBot="1">
      <c r="B478" s="1297"/>
      <c r="C478" s="34"/>
      <c r="D478" s="34"/>
      <c r="E478" s="34"/>
      <c r="F478" s="1959"/>
      <c r="G478" s="72">
        <f>+SUM(G476:G477)</f>
        <v>1091313.059849001</v>
      </c>
      <c r="H478" s="1314">
        <f>+SUM(H476:H477)</f>
        <v>1391218.6099999999</v>
      </c>
      <c r="J478" s="1081" t="s">
        <v>41</v>
      </c>
      <c r="K478" s="1082">
        <f>+N932</f>
        <v>13063.24</v>
      </c>
      <c r="L478" s="1083">
        <v>82.216899999999995</v>
      </c>
      <c r="M478" s="1082">
        <f t="shared" ref="M478:M480" si="14">+K478*L478</f>
        <v>1074019.0967559998</v>
      </c>
      <c r="N478" s="1082">
        <v>1093393</v>
      </c>
      <c r="O478" s="1084">
        <f t="shared" ref="O478:O480" si="15">+N478-M478</f>
        <v>19373.903244000161</v>
      </c>
    </row>
    <row r="479" spans="2:15" ht="18.600000000000001" thickTop="1">
      <c r="B479" s="1310" t="s">
        <v>2810</v>
      </c>
      <c r="C479" s="68"/>
      <c r="D479" s="68"/>
      <c r="E479" s="68"/>
      <c r="F479" s="1959"/>
      <c r="G479" s="59"/>
      <c r="H479" s="1293"/>
      <c r="J479" s="1081" t="s">
        <v>537</v>
      </c>
      <c r="K479" s="1082">
        <f>+N933</f>
        <v>24291.3</v>
      </c>
      <c r="L479" s="1083">
        <v>82.216899999999995</v>
      </c>
      <c r="M479" s="1082">
        <f t="shared" si="14"/>
        <v>1997155.3829699999</v>
      </c>
      <c r="N479" s="1082">
        <v>2033181</v>
      </c>
      <c r="O479" s="1084">
        <f t="shared" si="15"/>
        <v>36025.617030000081</v>
      </c>
    </row>
    <row r="480" spans="2:15" ht="18">
      <c r="B480" s="1297" t="s">
        <v>282</v>
      </c>
      <c r="C480" s="34"/>
      <c r="D480" s="34"/>
      <c r="E480" s="34"/>
      <c r="F480" s="1959"/>
      <c r="G480" s="59">
        <f>+H483</f>
        <v>23499723</v>
      </c>
      <c r="H480" s="1293">
        <v>41971585.5</v>
      </c>
      <c r="J480" s="1081" t="s">
        <v>615</v>
      </c>
      <c r="K480" s="1082">
        <f>+N934</f>
        <v>45332</v>
      </c>
      <c r="L480" s="1083">
        <v>82.216899999999995</v>
      </c>
      <c r="M480" s="1082">
        <f t="shared" si="14"/>
        <v>3727056.5107999998</v>
      </c>
      <c r="N480" s="1082">
        <v>3794288</v>
      </c>
      <c r="O480" s="1084">
        <f t="shared" si="15"/>
        <v>67231.489200000186</v>
      </c>
    </row>
    <row r="481" spans="2:15" ht="18">
      <c r="B481" s="1297" t="s">
        <v>1009</v>
      </c>
      <c r="C481" s="34"/>
      <c r="D481" s="34"/>
      <c r="E481" s="34"/>
      <c r="F481" s="75"/>
      <c r="G481" s="78">
        <f>+GETPIVOTDATA("Sum of Dr. Final 22-23",Pivot!$A$3,"Note",23,"BS Main Head","Raw Material Consumed","BS Sub Head","Raw Material Purchase")</f>
        <v>826174715.5</v>
      </c>
      <c r="H481" s="1337">
        <v>848470297.79999995</v>
      </c>
      <c r="J481" s="1081"/>
      <c r="K481" s="1082"/>
      <c r="L481" s="1082"/>
      <c r="M481" s="1082"/>
      <c r="N481" s="1082"/>
      <c r="O481" s="1084">
        <f>SUM(O477:O480)</f>
        <v>191396.66984900087</v>
      </c>
    </row>
    <row r="482" spans="2:15" ht="18">
      <c r="B482" s="1297"/>
      <c r="C482" s="34"/>
      <c r="D482" s="34"/>
      <c r="E482" s="34"/>
      <c r="F482" s="1959"/>
      <c r="G482" s="23">
        <f>+SUM(G480:G481)</f>
        <v>849674438.5</v>
      </c>
      <c r="H482" s="1251">
        <f>+SUM(H480:H481)</f>
        <v>890441883.29999995</v>
      </c>
    </row>
    <row r="483" spans="2:15" ht="18">
      <c r="B483" s="1297" t="s">
        <v>1010</v>
      </c>
      <c r="C483" s="34"/>
      <c r="D483" s="34"/>
      <c r="E483" s="34"/>
      <c r="F483" s="32"/>
      <c r="G483" s="59">
        <f>+'CLOSING STOCK 22-23'!P23+'CLOSING STOCK 22-23'!P27</f>
        <v>34550732.8336384</v>
      </c>
      <c r="H483" s="1293">
        <f>14050975+6473500+2975248</f>
        <v>23499723</v>
      </c>
    </row>
    <row r="484" spans="2:15" ht="18.600000000000001" thickBot="1">
      <c r="B484" s="1297"/>
      <c r="C484" s="94"/>
      <c r="D484" s="94"/>
      <c r="E484" s="94"/>
      <c r="F484" s="94"/>
      <c r="G484" s="72">
        <f>+G482-G483</f>
        <v>815123705.66636157</v>
      </c>
      <c r="H484" s="1314">
        <f>+H482-H483</f>
        <v>866942160.29999995</v>
      </c>
    </row>
    <row r="485" spans="2:15" ht="18.600000000000001" thickTop="1">
      <c r="B485" s="1310" t="s">
        <v>2811</v>
      </c>
      <c r="C485" s="68"/>
      <c r="D485" s="68"/>
      <c r="E485" s="68"/>
      <c r="F485" s="2043"/>
      <c r="G485" s="58"/>
      <c r="H485" s="1292"/>
    </row>
    <row r="486" spans="2:15" ht="18">
      <c r="B486" s="1297" t="s">
        <v>282</v>
      </c>
      <c r="C486" s="34"/>
      <c r="D486" s="34"/>
      <c r="E486" s="34"/>
      <c r="F486" s="1959"/>
      <c r="G486" s="59">
        <f>+H487</f>
        <v>17088292</v>
      </c>
      <c r="H486" s="1293">
        <v>16099811.717889346</v>
      </c>
    </row>
    <row r="487" spans="2:15" ht="18">
      <c r="B487" s="1297" t="s">
        <v>1011</v>
      </c>
      <c r="C487" s="34"/>
      <c r="D487" s="34"/>
      <c r="E487" s="34"/>
      <c r="F487" s="32"/>
      <c r="G487" s="59">
        <f>+'CLOSING STOCK 22-23'!P35</f>
        <v>16465227</v>
      </c>
      <c r="H487" s="1293">
        <v>17088292</v>
      </c>
    </row>
    <row r="488" spans="2:15" ht="18.600000000000001" thickBot="1">
      <c r="B488" s="1297"/>
      <c r="C488" s="34"/>
      <c r="D488" s="34"/>
      <c r="E488" s="34"/>
      <c r="F488" s="1959"/>
      <c r="G488" s="72">
        <f>+G486-G487</f>
        <v>623065</v>
      </c>
      <c r="H488" s="1314">
        <f>+H486-H487</f>
        <v>-988480.28211065382</v>
      </c>
    </row>
    <row r="489" spans="2:15" ht="18.600000000000001" thickTop="1">
      <c r="B489" s="1310" t="s">
        <v>2812</v>
      </c>
      <c r="C489" s="68"/>
      <c r="D489" s="68"/>
      <c r="E489" s="68"/>
      <c r="F489" s="1959"/>
      <c r="G489" s="59"/>
      <c r="H489" s="1293"/>
    </row>
    <row r="490" spans="2:15" ht="18">
      <c r="B490" s="1297" t="s">
        <v>156</v>
      </c>
      <c r="C490" s="34"/>
      <c r="D490" s="34"/>
      <c r="E490" s="34"/>
      <c r="F490" s="31"/>
      <c r="G490" s="59">
        <f>+GETPIVOTDATA("Sum of Dr. Final 22-23",Pivot!$A$3,"Note",25,"BS Main Head","Employee Benefit Expenses","BS Sub Head","Salary &amp; Wages")-GETPIVOTDATA("Sum of Cr. Final 22-23",Pivot!$A$3,"Note",25,"BS Main Head","Employee Benefit Expenses","BS Sub Head","Salary &amp; Wages")</f>
        <v>15862269</v>
      </c>
      <c r="H490" s="1293">
        <v>21904975</v>
      </c>
    </row>
    <row r="491" spans="2:15" ht="18">
      <c r="B491" s="1297" t="s">
        <v>172</v>
      </c>
      <c r="C491" s="34"/>
      <c r="D491" s="34"/>
      <c r="E491" s="34"/>
      <c r="F491" s="1959"/>
      <c r="G491" s="59">
        <f>+GETPIVOTDATA("Sum of Dr. Final 22-23",Pivot!$A$3,"Note",25,"BS Main Head","Employee Benefit Expenses","BS Sub Head","Contribution to Funds")</f>
        <v>2416943</v>
      </c>
      <c r="H491" s="1293">
        <v>2430498</v>
      </c>
    </row>
    <row r="492" spans="2:15" ht="18">
      <c r="B492" s="1297" t="s">
        <v>270</v>
      </c>
      <c r="C492" s="34"/>
      <c r="D492" s="34"/>
      <c r="E492" s="34"/>
      <c r="F492" s="1959"/>
      <c r="G492" s="59">
        <f>+GETPIVOTDATA("Sum of Dr. Final 22-23",Pivot!$A$3,"Note",25,"BS Main Head","Employee Benefit Expenses","BS Sub Head","Staff Welfare Expenses")</f>
        <v>194520</v>
      </c>
      <c r="H492" s="1293">
        <v>198462</v>
      </c>
    </row>
    <row r="493" spans="2:15" ht="18.600000000000001" thickBot="1">
      <c r="B493" s="1297"/>
      <c r="C493" s="34"/>
      <c r="D493" s="34"/>
      <c r="E493" s="34"/>
      <c r="F493" s="1959"/>
      <c r="G493" s="72">
        <f>+SUM(G490:G492)</f>
        <v>18473732</v>
      </c>
      <c r="H493" s="1314">
        <f>+SUM(H490:H492)</f>
        <v>24533935</v>
      </c>
    </row>
    <row r="494" spans="2:15" ht="18.600000000000001" thickTop="1">
      <c r="B494" s="1310" t="s">
        <v>2813</v>
      </c>
      <c r="C494" s="68"/>
      <c r="D494" s="68"/>
      <c r="E494" s="68"/>
      <c r="F494" s="1959"/>
      <c r="G494" s="59"/>
      <c r="H494" s="1293"/>
    </row>
    <row r="495" spans="2:15" ht="18">
      <c r="B495" s="1297" t="s">
        <v>225</v>
      </c>
      <c r="C495" s="34"/>
      <c r="D495" s="34"/>
      <c r="E495" s="34"/>
      <c r="F495" s="2004"/>
      <c r="G495" s="58">
        <f>+GETPIVOTDATA("Sum of Dr. Final 22-23",Pivot!$A$3,"Note",26,"BS Main Head","Finance Costs","BS Sub Head","Interest Expenses")</f>
        <v>8389824</v>
      </c>
      <c r="H495" s="1292">
        <v>7344101.1500000004</v>
      </c>
      <c r="J495" t="s">
        <v>992</v>
      </c>
    </row>
    <row r="496" spans="2:15" ht="18">
      <c r="B496" s="1297" t="s">
        <v>1012</v>
      </c>
      <c r="C496" s="34"/>
      <c r="D496" s="34"/>
      <c r="E496" s="34"/>
      <c r="F496" s="1076"/>
      <c r="G496" s="58">
        <f>+GETPIVOTDATA("Sum of Dr. Final 22-23",Pivot!$A$3,"Note",26,"BS Main Head","Finance Costs","BS Sub Head","Other Borrowing Costs")</f>
        <v>197817</v>
      </c>
      <c r="H496" s="1292">
        <v>258852</v>
      </c>
      <c r="J496" t="s">
        <v>532</v>
      </c>
      <c r="K496" s="3" t="s">
        <v>1213</v>
      </c>
      <c r="L496" s="3" t="s">
        <v>1214</v>
      </c>
      <c r="M496" s="3" t="s">
        <v>1215</v>
      </c>
      <c r="N496" s="3" t="s">
        <v>1216</v>
      </c>
    </row>
    <row r="497" spans="2:14" ht="18">
      <c r="B497" s="1297"/>
      <c r="C497" s="34"/>
      <c r="D497" s="34"/>
      <c r="E497" s="34"/>
      <c r="F497" s="131"/>
      <c r="G497" s="1548">
        <f>+SUM(G495:G496)</f>
        <v>8587641</v>
      </c>
      <c r="H497" s="1791">
        <f>+SUM(H495:H496)</f>
        <v>7602953.1500000004</v>
      </c>
      <c r="J497" t="s">
        <v>1212</v>
      </c>
      <c r="K497" s="3">
        <v>656155</v>
      </c>
      <c r="L497" s="3">
        <f>+GETPIVOTDATA("Sum of Dr. Final 22-23",Pivot!$A$3,"Note",27,"BS Main Head","Other - Manufacturing Expenses","BS Sub Head","Packing Material Purchase")</f>
        <v>10882324.880000001</v>
      </c>
      <c r="M497" s="3">
        <v>548138</v>
      </c>
      <c r="N497" s="3">
        <f>+K497+L497-M497</f>
        <v>10990341.880000001</v>
      </c>
    </row>
    <row r="498" spans="2:14" ht="18" hidden="1">
      <c r="B498" s="1437" t="s">
        <v>0</v>
      </c>
      <c r="C498" s="68"/>
      <c r="D498" s="68"/>
      <c r="E498" s="68"/>
      <c r="F498" s="1959"/>
      <c r="G498" s="1237" t="s">
        <v>788</v>
      </c>
      <c r="H498" s="1238" t="s">
        <v>788</v>
      </c>
    </row>
    <row r="499" spans="2:14" ht="18" hidden="1">
      <c r="B499" s="1286"/>
      <c r="C499" s="82"/>
      <c r="D499" s="82"/>
      <c r="E499" s="82"/>
      <c r="F499" s="95"/>
      <c r="G499" s="41" t="str">
        <f>+G576</f>
        <v>March 31, 2023 (₹)</v>
      </c>
      <c r="H499" s="1272" t="str">
        <f>+H576</f>
        <v>March 31, 2022 (₹)</v>
      </c>
    </row>
    <row r="500" spans="2:14" ht="18">
      <c r="B500" s="1310" t="s">
        <v>2814</v>
      </c>
      <c r="C500" s="35"/>
      <c r="D500" s="35"/>
      <c r="E500" s="35"/>
      <c r="F500" s="1959"/>
      <c r="G500" s="67"/>
      <c r="H500" s="1309"/>
    </row>
    <row r="501" spans="2:14" ht="18">
      <c r="B501" s="1283" t="s">
        <v>1013</v>
      </c>
      <c r="C501" s="35"/>
      <c r="D501" s="35"/>
      <c r="E501" s="35"/>
      <c r="F501" s="1959"/>
      <c r="G501" s="59"/>
      <c r="H501" s="1293"/>
    </row>
    <row r="502" spans="2:14" ht="18">
      <c r="B502" s="1294" t="s">
        <v>78</v>
      </c>
      <c r="C502" s="2004"/>
      <c r="D502" s="2004"/>
      <c r="E502" s="2004"/>
      <c r="F502" s="1959"/>
      <c r="G502" s="59">
        <f>+GETPIVOTDATA("Sum of Dr. Final 22-23",Pivot!$A$3,"Note",27,"BS Main Head","Other - Manufacturing Expenses","BS Sub Head","Factory Expenses")</f>
        <v>4847155.45</v>
      </c>
      <c r="H502" s="1293">
        <v>5119183</v>
      </c>
      <c r="J502" t="s">
        <v>991</v>
      </c>
    </row>
    <row r="503" spans="2:14" ht="18">
      <c r="B503" s="1297" t="s">
        <v>186</v>
      </c>
      <c r="C503" s="34"/>
      <c r="D503" s="34"/>
      <c r="E503" s="34"/>
      <c r="F503" s="1959"/>
      <c r="G503" s="59">
        <f>+GETPIVOTDATA("Sum of Dr. Final 22-23",Pivot!$A$3,"Note",27,"BS Main Head","Other - Manufacturing Expenses","BS Sub Head","Finished Goods Packing and Allied Charges")</f>
        <v>2829820</v>
      </c>
      <c r="H503" s="1293">
        <v>3282001</v>
      </c>
      <c r="J503" t="s">
        <v>532</v>
      </c>
      <c r="K503" s="3" t="s">
        <v>1213</v>
      </c>
      <c r="L503" s="3" t="s">
        <v>1214</v>
      </c>
      <c r="M503" s="3" t="s">
        <v>1215</v>
      </c>
      <c r="N503" s="3" t="s">
        <v>1216</v>
      </c>
    </row>
    <row r="504" spans="2:14" ht="18">
      <c r="B504" s="1297" t="s">
        <v>1014</v>
      </c>
      <c r="C504" s="96"/>
      <c r="D504" s="96"/>
      <c r="E504" s="96"/>
      <c r="F504" s="1959"/>
      <c r="G504" s="59">
        <f>+N504</f>
        <v>10990341.880000001</v>
      </c>
      <c r="H504" s="1293">
        <v>9075854.2200000007</v>
      </c>
      <c r="J504" t="s">
        <v>1212</v>
      </c>
      <c r="K504" s="3">
        <v>656155</v>
      </c>
      <c r="L504" s="3">
        <f>+GETPIVOTDATA("Sum of Dr. Final 22-23",Pivot!$A$3,"Note",27,"BS Main Head","Other - Manufacturing Expenses","BS Sub Head","Packing Material Purchase")</f>
        <v>10882324.880000001</v>
      </c>
      <c r="M504" s="3">
        <v>548138</v>
      </c>
      <c r="N504" s="3">
        <f>+K504+L504-M504</f>
        <v>10990341.880000001</v>
      </c>
    </row>
    <row r="505" spans="2:14" ht="18">
      <c r="B505" s="1297" t="s">
        <v>1015</v>
      </c>
      <c r="C505" s="34"/>
      <c r="D505" s="34"/>
      <c r="E505" s="34"/>
      <c r="F505" s="31"/>
      <c r="G505" s="59">
        <f>+N505</f>
        <v>184386383.23999998</v>
      </c>
      <c r="H505" s="1293">
        <v>140580439.34</v>
      </c>
      <c r="J505" t="s">
        <v>1217</v>
      </c>
      <c r="K505" s="3">
        <f>1342056+720000</f>
        <v>2062056</v>
      </c>
      <c r="L505" s="3">
        <f>+GETPIVOTDATA("Sum of Dr. Final 22-23",Pivot!$A$3,"Note",27,"BS Main Head","Other - Manufacturing Expenses","BS Sub Head","Power and Fuel")</f>
        <v>184467217.23999998</v>
      </c>
      <c r="M505" s="3">
        <v>2142890</v>
      </c>
      <c r="N505" s="3">
        <f>+K505+L505-M505</f>
        <v>184386383.23999998</v>
      </c>
    </row>
    <row r="506" spans="2:14" ht="18">
      <c r="B506" s="1297" t="s">
        <v>347</v>
      </c>
      <c r="C506" s="34"/>
      <c r="D506" s="34"/>
      <c r="E506" s="34"/>
      <c r="F506" s="1959"/>
      <c r="G506" s="59">
        <f>+GETPIVOTDATA("Sum of Dr. Final 22-23",Pivot!$A$3,"Note",27,"BS Main Head","Other - Manufacturing Expenses","BS Sub Head","Raw Material Sorting Charges")</f>
        <v>3368785</v>
      </c>
      <c r="H506" s="1293">
        <v>4044390</v>
      </c>
      <c r="J506" t="s">
        <v>1218</v>
      </c>
      <c r="K506" s="3">
        <v>8287041</v>
      </c>
      <c r="L506" s="3">
        <f>+GETPIVOTDATA("Sum of Dr. Final 22-23",Pivot!$A$3,"Note",27,"BS Main Head","Other - Manufacturing Expenses","BS Sub Head","Stores &amp; Spares Consumed")</f>
        <v>13738207.939999999</v>
      </c>
      <c r="M506" s="3">
        <f>+'CLOSING STOCK 22-23'!P37</f>
        <v>8955693</v>
      </c>
      <c r="N506" s="3">
        <f>+K506+L506-M506</f>
        <v>13069555.939999998</v>
      </c>
    </row>
    <row r="507" spans="2:14" ht="18">
      <c r="B507" s="1375" t="s">
        <v>1016</v>
      </c>
      <c r="C507" s="34"/>
      <c r="D507" s="34"/>
      <c r="E507" s="34"/>
      <c r="F507" s="1959"/>
      <c r="G507" s="59"/>
      <c r="H507" s="1293"/>
    </row>
    <row r="508" spans="2:14" ht="18">
      <c r="B508" s="1297" t="s">
        <v>1017</v>
      </c>
      <c r="C508" s="34"/>
      <c r="D508" s="34"/>
      <c r="E508" s="34"/>
      <c r="F508" s="1959"/>
      <c r="G508" s="59">
        <f>+GETPIVOTDATA("Sum of Dr. Final 22-23",Pivot!$A$3,"Note",27,"BS Main Head","Other - Manufacturing Expenses","BS Sub Head","Repairs &amp; Maintainence - Machinery")</f>
        <v>6859174.04</v>
      </c>
      <c r="H508" s="1293">
        <v>6320421.9900000002</v>
      </c>
    </row>
    <row r="509" spans="2:14" ht="18">
      <c r="B509" s="1297" t="s">
        <v>1018</v>
      </c>
      <c r="C509" s="34"/>
      <c r="D509" s="34"/>
      <c r="E509" s="34"/>
      <c r="F509" s="2004"/>
      <c r="G509" s="58">
        <f>+GETPIVOTDATA("Sum of Dr. Final 22-23",Pivot!$A$3,"Note",27,"BS Main Head","Other - Manufacturing Expenses","BS Sub Head","Repairs &amp; Maintainence - Building")</f>
        <v>93430.13</v>
      </c>
      <c r="H509" s="1292">
        <v>49000</v>
      </c>
    </row>
    <row r="510" spans="2:14" ht="18">
      <c r="B510" s="1297" t="s">
        <v>380</v>
      </c>
      <c r="C510" s="34"/>
      <c r="D510" s="34"/>
      <c r="E510" s="34"/>
      <c r="F510" s="1959"/>
      <c r="G510" s="59">
        <f>+GETPIVOTDATA("Sum of Dr. Final 22-23",Pivot!$A$3,"Note",27,"BS Main Head","Other - Manufacturing Expenses","BS Sub Head","Security Service Charges")</f>
        <v>905691</v>
      </c>
      <c r="H510" s="1293">
        <v>783594</v>
      </c>
    </row>
    <row r="511" spans="2:14" ht="18">
      <c r="B511" s="1297" t="s">
        <v>341</v>
      </c>
      <c r="C511" s="34"/>
      <c r="D511" s="34"/>
      <c r="E511" s="34"/>
      <c r="F511" s="1959"/>
      <c r="G511" s="59">
        <f>+N506</f>
        <v>13069555.939999998</v>
      </c>
      <c r="H511" s="1293">
        <v>17105048.670000002</v>
      </c>
    </row>
    <row r="512" spans="2:14" ht="18">
      <c r="B512" s="1294" t="s">
        <v>1019</v>
      </c>
      <c r="C512" s="34"/>
      <c r="D512" s="34"/>
      <c r="E512" s="34"/>
      <c r="F512" s="1959"/>
      <c r="G512" s="59">
        <f>+GETPIVOTDATA("Sum of Dr. Final 22-23",Pivot!$A$3,"Note",27,"BS Main Head","Other - Manufacturing Expenses","BS Sub Head","Waste Paper Feeding Charges")</f>
        <v>4829408</v>
      </c>
      <c r="H512" s="1293">
        <v>6303933</v>
      </c>
    </row>
    <row r="513" spans="2:8" ht="18">
      <c r="B513" s="1269"/>
      <c r="C513" s="55"/>
      <c r="D513" s="55"/>
      <c r="E513" s="55"/>
      <c r="F513" s="1796" t="s">
        <v>1020</v>
      </c>
      <c r="G513" s="1548">
        <f>+SUM(G502:G512)</f>
        <v>232179744.67999998</v>
      </c>
      <c r="H513" s="1791">
        <f>+SUM(H502:H512)</f>
        <v>192663865.22000003</v>
      </c>
    </row>
    <row r="514" spans="2:8" ht="18.600000000000001" thickBot="1">
      <c r="B514" s="1232"/>
      <c r="C514" s="1233"/>
      <c r="D514" s="1233"/>
      <c r="E514" s="1233"/>
      <c r="F514" s="1560"/>
      <c r="G514" s="1795"/>
      <c r="H514" s="1830"/>
    </row>
    <row r="515" spans="2:8" ht="18">
      <c r="B515" s="2155" t="s">
        <v>785</v>
      </c>
      <c r="C515" s="2156"/>
      <c r="D515" s="2156"/>
      <c r="E515" s="2156"/>
      <c r="F515" s="2156"/>
      <c r="G515" s="2156"/>
      <c r="H515" s="2157"/>
    </row>
    <row r="516" spans="2:8" ht="18">
      <c r="B516" s="2158" t="s">
        <v>2241</v>
      </c>
      <c r="C516" s="2159"/>
      <c r="D516" s="2159"/>
      <c r="E516" s="2159"/>
      <c r="F516" s="2159"/>
      <c r="G516" s="2159"/>
      <c r="H516" s="2160"/>
    </row>
    <row r="517" spans="2:8" ht="18">
      <c r="B517" s="1533"/>
      <c r="C517" s="2044"/>
      <c r="D517" s="2044"/>
      <c r="E517" s="2044"/>
      <c r="F517" s="2044"/>
      <c r="G517" s="2044"/>
      <c r="H517" s="1534"/>
    </row>
    <row r="518" spans="2:8" ht="18">
      <c r="B518" s="1287" t="s">
        <v>0</v>
      </c>
      <c r="C518" s="1288"/>
      <c r="D518" s="1288"/>
      <c r="E518" s="1288"/>
      <c r="F518" s="1289"/>
      <c r="G518" s="1237" t="s">
        <v>788</v>
      </c>
      <c r="H518" s="1238" t="s">
        <v>788</v>
      </c>
    </row>
    <row r="519" spans="2:8" ht="18">
      <c r="B519" s="1269"/>
      <c r="C519" s="55"/>
      <c r="D519" s="55"/>
      <c r="E519" s="55"/>
      <c r="F519" s="38"/>
      <c r="G519" s="41" t="str">
        <f>+G5</f>
        <v>March 31, 2023 (₹)</v>
      </c>
      <c r="H519" s="1272" t="str">
        <f>+H5</f>
        <v>March 31, 2022 (₹)</v>
      </c>
    </row>
    <row r="520" spans="2:8" ht="18">
      <c r="B520" s="1311" t="s">
        <v>1021</v>
      </c>
      <c r="C520" s="35"/>
      <c r="D520" s="35"/>
      <c r="E520" s="35"/>
      <c r="F520" s="2004"/>
      <c r="G520" s="58"/>
      <c r="H520" s="1292"/>
    </row>
    <row r="521" spans="2:8" ht="18">
      <c r="B521" s="1375" t="s">
        <v>1022</v>
      </c>
      <c r="C521" s="2004"/>
      <c r="D521" s="2004"/>
      <c r="E521" s="2004"/>
      <c r="F521" s="2004"/>
      <c r="G521" s="58"/>
      <c r="H521" s="1292"/>
    </row>
    <row r="522" spans="2:8" ht="18">
      <c r="B522" s="1297" t="s">
        <v>398</v>
      </c>
      <c r="C522" s="2004"/>
      <c r="D522" s="2004"/>
      <c r="E522" s="2004"/>
      <c r="F522" s="2004"/>
      <c r="G522" s="58">
        <f>+GETPIVOTDATA("Sum of Dr. Final 22-23",Pivot!$A$3,"Note",27,"BS Main Head","Other - Establishment Expenses","BS Sub Head","Statutory Audit Fees")</f>
        <v>275000</v>
      </c>
      <c r="H522" s="1292">
        <v>275000</v>
      </c>
    </row>
    <row r="523" spans="2:8" ht="18">
      <c r="B523" s="1297" t="s">
        <v>239</v>
      </c>
      <c r="C523" s="2004"/>
      <c r="D523" s="2004"/>
      <c r="E523" s="2004"/>
      <c r="F523" s="2004"/>
      <c r="G523" s="58">
        <f>+GETPIVOTDATA("Sum of Dr. Final 22-23",Pivot!$A$3,"Note",27,"BS Main Head","Other - Establishment Expenses","BS Sub Head","Internal Audit Fees")</f>
        <v>200000</v>
      </c>
      <c r="H523" s="1292">
        <v>200000</v>
      </c>
    </row>
    <row r="524" spans="2:8" ht="18">
      <c r="B524" s="1297" t="s">
        <v>61</v>
      </c>
      <c r="C524" s="2004"/>
      <c r="D524" s="2004"/>
      <c r="E524" s="2004"/>
      <c r="F524" s="2004"/>
      <c r="G524" s="58">
        <f>+GETPIVOTDATA("Sum of Dr. Final 22-23",Pivot!$A$3,"Note",27,"BS Main Head","Other - Establishment Expenses","BS Sub Head","Audit Expenses")</f>
        <v>0</v>
      </c>
      <c r="H524" s="1292">
        <v>762</v>
      </c>
    </row>
    <row r="525" spans="2:8" ht="18">
      <c r="B525" s="1335" t="s">
        <v>66</v>
      </c>
      <c r="C525" s="97"/>
      <c r="D525" s="97"/>
      <c r="E525" s="97"/>
      <c r="F525" s="2004"/>
      <c r="G525" s="58">
        <f>+GETPIVOTDATA("Sum of Dr. Final 22-23",Pivot!$A$3,"Note",27,"BS Main Head","Other - Establishment Expenses","BS Sub Head","Bank Commission &amp; Charges")</f>
        <v>412603.48</v>
      </c>
      <c r="H525" s="1292">
        <v>514584.8</v>
      </c>
    </row>
    <row r="526" spans="2:8" ht="18">
      <c r="B526" s="1297" t="s">
        <v>1023</v>
      </c>
      <c r="C526" s="34"/>
      <c r="D526" s="34"/>
      <c r="E526" s="34"/>
      <c r="F526" s="34"/>
      <c r="G526" s="59">
        <f>+GETPIVOTDATA("Sum of Dr. Final 22-23",Pivot!$A$3,"Note",27,"BS Main Head","Other - Establishment Expenses","BS Sub Head","Bad Debts")</f>
        <v>0</v>
      </c>
      <c r="H526" s="1293">
        <v>6461</v>
      </c>
    </row>
    <row r="527" spans="2:8" ht="18">
      <c r="B527" s="1297" t="s">
        <v>1024</v>
      </c>
      <c r="C527" s="34"/>
      <c r="D527" s="34"/>
      <c r="E527" s="34"/>
      <c r="F527" s="34"/>
      <c r="G527" s="59">
        <f>+GETPIVOTDATA("Sum of Dr. Final 22-23",Pivot!$A$3,"Note",27,"BS Main Head","Other - Establishment Expenses","BS Sub Head","CSR Expenses")</f>
        <v>0</v>
      </c>
      <c r="H527" s="1293">
        <v>1308660</v>
      </c>
    </row>
    <row r="528" spans="2:8" ht="18">
      <c r="B528" s="1297" t="s">
        <v>163</v>
      </c>
      <c r="C528" s="34"/>
      <c r="D528" s="34"/>
      <c r="E528" s="34"/>
      <c r="F528" s="2004"/>
      <c r="G528" s="58">
        <f>+GETPIVOTDATA("Sum of Dr. Final 22-23",Pivot!$A$3,"Note",27,"BS Main Head","Other - Establishment Expenses","BS Sub Head","Donation")</f>
        <v>37500</v>
      </c>
      <c r="H528" s="1292">
        <v>26700</v>
      </c>
    </row>
    <row r="529" spans="2:8" ht="18">
      <c r="B529" s="1297" t="s">
        <v>217</v>
      </c>
      <c r="C529" s="34"/>
      <c r="D529" s="34"/>
      <c r="E529" s="34"/>
      <c r="F529" s="2004"/>
      <c r="G529" s="58">
        <f>+GETPIVOTDATA("Sum of Dr. Final 22-23",Pivot!$A$3,"Note",27,"BS Main Head","Other - Establishment Expenses","BS Sub Head","Insurance Charges")</f>
        <v>1422847</v>
      </c>
      <c r="H529" s="1292">
        <v>1140533</v>
      </c>
    </row>
    <row r="530" spans="2:8" ht="18">
      <c r="B530" s="1297" t="s">
        <v>52</v>
      </c>
      <c r="C530" s="34"/>
      <c r="D530" s="34"/>
      <c r="E530" s="34"/>
      <c r="F530" s="2004"/>
      <c r="G530" s="58">
        <f>+GETPIVOTDATA("Sum of Dr. Final 22-23",Pivot!$A$3,"Note",27,"BS Main Head","Other - Establishment Expenses","BS Sub Head","General Expenses")-GETPIVOTDATA("Sum of Cr. Final 22-23",Pivot!$A$3,"Note",27,"BS Main Head","Other - Establishment Expenses","BS Sub Head","General Expenses")</f>
        <v>959429.4</v>
      </c>
      <c r="H530" s="1292">
        <v>1124223.29</v>
      </c>
    </row>
    <row r="531" spans="2:8" ht="18">
      <c r="B531" s="1297" t="s">
        <v>2389</v>
      </c>
      <c r="C531" s="2004"/>
      <c r="D531" s="2004"/>
      <c r="E531" s="2004"/>
      <c r="F531" s="2004"/>
      <c r="G531" s="58">
        <f>+GETPIVOTDATA("Sum of Dr. Final 22-23",Pivot!$A$3,"PARTICULARS","GST ANNUAL RETURN CHARGES","Note",27,"BS Main Head","Other - Establishment Expenses","BS Sub Head","Legal and Professional Charges")</f>
        <v>30000</v>
      </c>
      <c r="H531" s="1292">
        <f>+GETPIVOTDATA("Sum of Dr. Final 21-22",Pivot!$A$3,"PARTICULARS","GST ANNUAL FEES F.Y. 2021-22","Note",27,"BS Main Head","Other - Establishment Expenses","BS Sub Head","Legal and Professional Charges")</f>
        <v>30000</v>
      </c>
    </row>
    <row r="532" spans="2:8" ht="18">
      <c r="B532" s="1297" t="s">
        <v>1025</v>
      </c>
      <c r="C532" s="34"/>
      <c r="D532" s="34"/>
      <c r="E532" s="34"/>
      <c r="F532" s="2004"/>
      <c r="G532" s="58">
        <f>+GETPIVOTDATA("Sum of Dr. Final 22-23",Pivot!$A$3,"Note",27,"BS Main Head","Other - Establishment Expenses","BS Sub Head","Legal and Professional Charges")-GETPIVOTDATA("Sum of Dr. Final 22-23",Pivot!$A$3,"PARTICULARS","GST ANNUAL RETURN CHARGES","Note",27,"BS Main Head","Other - Establishment Expenses","BS Sub Head","Legal and Professional Charges")</f>
        <v>808784</v>
      </c>
      <c r="H532" s="1292">
        <f>+GETPIVOTDATA("Sum of Dr. Final 21-22",Pivot!$A$3,"Note",27,"BS Main Head","Other - Establishment Expenses","BS Sub Head","Legal and Professional Charges")-GETPIVOTDATA("Sum of Dr. Final 21-22",Pivot!$A$3,"PARTICULARS","GST ANNUAL FEES F.Y. 2021-22","Note",27,"BS Main Head","Other - Establishment Expenses","BS Sub Head","Legal and Professional Charges")</f>
        <v>1738494</v>
      </c>
    </row>
    <row r="533" spans="2:8" ht="18">
      <c r="B533" s="1297" t="s">
        <v>1026</v>
      </c>
      <c r="C533" s="34"/>
      <c r="D533" s="34"/>
      <c r="E533" s="34"/>
      <c r="F533" s="34"/>
      <c r="G533" s="59">
        <f>+GETPIVOTDATA("Sum of Dr. Final 22-23",Pivot!$A$3,"Note",27,"BS Main Head","Other - Establishment Expenses","BS Sub Head","Listing Expenses")</f>
        <v>55000</v>
      </c>
      <c r="H533" s="1293">
        <f>+GETPIVOTDATA("Sum of Dr. Final 21-22",Pivot!$A$3,"Note",27,"BS Main Head","Other - Establishment Expenses","BS Sub Head","Listing Expenses")</f>
        <v>103000</v>
      </c>
    </row>
    <row r="534" spans="2:8" ht="18">
      <c r="B534" s="1297" t="s">
        <v>2916</v>
      </c>
      <c r="C534" s="34"/>
      <c r="D534" s="34"/>
      <c r="E534" s="34"/>
      <c r="F534" s="34"/>
      <c r="G534" s="59">
        <v>0</v>
      </c>
      <c r="H534" s="1293">
        <v>0</v>
      </c>
    </row>
    <row r="535" spans="2:8" ht="18">
      <c r="B535" s="1297" t="s">
        <v>80</v>
      </c>
      <c r="C535" s="34"/>
      <c r="D535" s="34"/>
      <c r="E535" s="34"/>
      <c r="F535" s="2004"/>
      <c r="G535" s="58">
        <f>+GETPIVOTDATA("Sum of Dr. Final 22-23",Pivot!$A$3,"Note",27,"BS Main Head","Other - Establishment Expenses","BS Sub Head","Office Expenses")</f>
        <v>391899.9</v>
      </c>
      <c r="H535" s="1292">
        <v>344353.44</v>
      </c>
    </row>
    <row r="536" spans="2:8" ht="18">
      <c r="B536" s="1297" t="s">
        <v>396</v>
      </c>
      <c r="C536" s="34"/>
      <c r="D536" s="34"/>
      <c r="E536" s="34"/>
      <c r="F536" s="2004"/>
      <c r="G536" s="58">
        <f>+GETPIVOTDATA("Sum of Dr. Final 22-23",Pivot!$A$3,"Note",27,"BS Main Head","Other - Establishment Expenses","BS Sub Head","Printing &amp; Stationery")</f>
        <v>269184.78000000003</v>
      </c>
      <c r="H536" s="1292">
        <v>183140.58</v>
      </c>
    </row>
    <row r="537" spans="2:8" ht="18">
      <c r="B537" s="1297" t="s">
        <v>87</v>
      </c>
      <c r="C537" s="34"/>
      <c r="D537" s="34"/>
      <c r="E537" s="34"/>
      <c r="F537" s="2004"/>
      <c r="G537" s="58">
        <f>+GETPIVOTDATA("Sum of Dr. Final 22-23",Pivot!$A$3,"Note",27,"BS Main Head","Other - Establishment Expenses","BS Sub Head","Rates &amp; Taxes")</f>
        <v>714305</v>
      </c>
      <c r="H537" s="1292">
        <v>656073</v>
      </c>
    </row>
    <row r="538" spans="2:8" ht="18">
      <c r="B538" s="1375" t="s">
        <v>1016</v>
      </c>
      <c r="C538" s="2004"/>
      <c r="D538" s="2004"/>
      <c r="E538" s="2004"/>
      <c r="F538" s="2004"/>
      <c r="G538" s="58"/>
      <c r="H538" s="1292"/>
    </row>
    <row r="539" spans="2:8" ht="18">
      <c r="B539" s="1297" t="s">
        <v>1027</v>
      </c>
      <c r="C539" s="34"/>
      <c r="D539" s="34"/>
      <c r="E539" s="34"/>
      <c r="F539" s="2045"/>
      <c r="G539" s="58">
        <f>+GETPIVOTDATA("Sum of Dr. Final 22-23",Pivot!$A$3,"Note",27,"BS Main Head","Other - Establishment Expenses","BS Sub Head","Repairs &amp; Maintainence - Vehicle")</f>
        <v>996236.52</v>
      </c>
      <c r="H539" s="1292">
        <v>972900.12</v>
      </c>
    </row>
    <row r="540" spans="2:8" ht="18">
      <c r="B540" s="1297" t="s">
        <v>1028</v>
      </c>
      <c r="C540" s="34"/>
      <c r="D540" s="34"/>
      <c r="E540" s="34"/>
      <c r="F540" s="2004"/>
      <c r="G540" s="58">
        <f>+GETPIVOTDATA("Sum of Dr. Final 22-23",Pivot!$A$3,"Note",27,"BS Main Head","Other - Establishment Expenses","BS Sub Head","Repairs &amp; Maintainence - Others")</f>
        <v>268584</v>
      </c>
      <c r="H540" s="1292">
        <v>501594.49</v>
      </c>
    </row>
    <row r="541" spans="2:8" ht="18">
      <c r="B541" s="1297" t="s">
        <v>1029</v>
      </c>
      <c r="C541" s="34"/>
      <c r="D541" s="34"/>
      <c r="E541" s="34"/>
      <c r="F541" s="1958"/>
      <c r="G541" s="59">
        <f>+GETPIVOTDATA("Sum of Dr. Final 22-23",Pivot!$A$3,"Note",27,"BS Main Head","Other - Establishment Expenses","BS Sub Head","Rent Expense")</f>
        <v>642000</v>
      </c>
      <c r="H541" s="1293">
        <v>468000</v>
      </c>
    </row>
    <row r="542" spans="2:8" ht="18">
      <c r="B542" s="1297" t="s">
        <v>1030</v>
      </c>
      <c r="C542" s="34"/>
      <c r="D542" s="34"/>
      <c r="E542" s="34"/>
      <c r="F542" s="2046"/>
      <c r="G542" s="58">
        <f>+GETPIVOTDATA("Sum of Dr. Final 22-23",Pivot!$A$3,"Note",27,"BS Main Head","Other - Establishment Expenses","BS Sub Head","Travelling and Conveyance Expense")</f>
        <v>540011</v>
      </c>
      <c r="H542" s="1292">
        <v>333028</v>
      </c>
    </row>
    <row r="543" spans="2:8" ht="18">
      <c r="B543" s="1297" t="s">
        <v>415</v>
      </c>
      <c r="C543" s="34"/>
      <c r="D543" s="34"/>
      <c r="E543" s="34"/>
      <c r="F543" s="2004"/>
      <c r="G543" s="58">
        <f>+GETPIVOTDATA("Sum of Dr. Final 22-23",Pivot!$A$3,"Note",27,"BS Main Head","Other - Establishment Expenses","BS Sub Head","Telephone Expenses")</f>
        <v>67429</v>
      </c>
      <c r="H543" s="1292">
        <v>70996</v>
      </c>
    </row>
    <row r="544" spans="2:8" ht="18">
      <c r="B544" s="1297"/>
      <c r="C544" s="34"/>
      <c r="D544" s="34"/>
      <c r="E544" s="34"/>
      <c r="F544" s="2023" t="s">
        <v>1031</v>
      </c>
      <c r="G544" s="1548">
        <f>+SUM(G536:G543)+SUM(G522:G535)</f>
        <v>8090814.0800000001</v>
      </c>
      <c r="H544" s="1791">
        <f>+SUM(H536:H543)+SUM(H522:H535)</f>
        <v>9998503.7200000007</v>
      </c>
    </row>
    <row r="545" spans="2:8" ht="18">
      <c r="B545" s="1283" t="s">
        <v>1032</v>
      </c>
      <c r="C545" s="35"/>
      <c r="D545" s="35"/>
      <c r="E545" s="35"/>
      <c r="F545" s="2004"/>
      <c r="G545" s="58"/>
      <c r="H545" s="1292"/>
    </row>
    <row r="546" spans="2:8" ht="18">
      <c r="B546" s="1297" t="s">
        <v>1033</v>
      </c>
      <c r="C546" s="34"/>
      <c r="D546" s="34"/>
      <c r="E546" s="34"/>
      <c r="F546" s="2004"/>
      <c r="G546" s="58">
        <f>+GETPIVOTDATA("Sum of Dr. Final 22-23",Pivot!$A$3,"Note",27,"BS Main Head","Other - Selling &amp; Distribution Expenses","BS Sub Head","Advertisement Expenses")</f>
        <v>120274</v>
      </c>
      <c r="H546" s="1292">
        <v>125580</v>
      </c>
    </row>
    <row r="547" spans="2:8" ht="18">
      <c r="B547" s="1297" t="s">
        <v>215</v>
      </c>
      <c r="C547" s="34"/>
      <c r="D547" s="34"/>
      <c r="E547" s="34"/>
      <c r="F547" s="2004"/>
      <c r="G547" s="58">
        <f>+GETPIVOTDATA("Sum of Dr. Final 22-23",Pivot!$A$3,"Note",27,"BS Main Head","Other - Selling &amp; Distribution Expenses","BS Sub Head","Insurance on Sales")</f>
        <v>250506</v>
      </c>
      <c r="H547" s="1292">
        <v>369150</v>
      </c>
    </row>
    <row r="548" spans="2:8" ht="18">
      <c r="B548" s="1297" t="s">
        <v>177</v>
      </c>
      <c r="C548" s="34"/>
      <c r="D548" s="34"/>
      <c r="E548" s="34"/>
      <c r="F548" s="2004"/>
      <c r="G548" s="58">
        <f>+GETPIVOTDATA("Sum of Dr. Final 22-23",Pivot!$A$3,"Note",27,"BS Main Head","Other - Selling &amp; Distribution Expenses","BS Sub Head","Freight on Sales")</f>
        <v>67144</v>
      </c>
      <c r="H548" s="1292">
        <v>1724227</v>
      </c>
    </row>
    <row r="549" spans="2:8" ht="18">
      <c r="B549" s="1297" t="s">
        <v>1034</v>
      </c>
      <c r="C549" s="34"/>
      <c r="D549" s="34"/>
      <c r="E549" s="34"/>
      <c r="F549" s="2004"/>
      <c r="G549" s="58">
        <f>+GETPIVOTDATA("Sum of Dr. Final 22-23",Pivot!$A$3,"Note",27,"BS Main Head","Other - Selling &amp; Distribution Expenses","BS Sub Head","Commission on Sales")</f>
        <v>1585770</v>
      </c>
      <c r="H549" s="1292">
        <v>1397360</v>
      </c>
    </row>
    <row r="550" spans="2:8" ht="18">
      <c r="B550" s="1297"/>
      <c r="C550" s="34"/>
      <c r="D550" s="34"/>
      <c r="E550" s="34"/>
      <c r="F550" s="2023" t="s">
        <v>1035</v>
      </c>
      <c r="G550" s="1548">
        <f>+SUM(G546:G549)</f>
        <v>2023694</v>
      </c>
      <c r="H550" s="1791">
        <f>+SUM(H546:H549)</f>
        <v>3616317</v>
      </c>
    </row>
    <row r="551" spans="2:8" ht="18">
      <c r="B551" s="1297"/>
      <c r="C551" s="34"/>
      <c r="D551" s="34"/>
      <c r="E551" s="34"/>
      <c r="F551" s="99" t="s">
        <v>1036</v>
      </c>
      <c r="G551" s="1548">
        <f>+G550+G544+G513</f>
        <v>242294252.75999999</v>
      </c>
      <c r="H551" s="1791">
        <f>+H550+H544+H513</f>
        <v>206278685.94000003</v>
      </c>
    </row>
    <row r="552" spans="2:8" ht="18">
      <c r="B552" s="1348" t="s">
        <v>2815</v>
      </c>
      <c r="C552" s="34"/>
      <c r="D552" s="34"/>
      <c r="E552" s="34"/>
      <c r="F552" s="24"/>
      <c r="G552" s="59"/>
      <c r="H552" s="1293"/>
    </row>
    <row r="553" spans="2:8" ht="18">
      <c r="B553" s="1283" t="s">
        <v>532</v>
      </c>
      <c r="C553" s="34"/>
      <c r="D553" s="34"/>
      <c r="E553" s="34"/>
      <c r="F553" s="24"/>
      <c r="G553" s="59"/>
      <c r="H553" s="1293"/>
    </row>
    <row r="554" spans="2:8" ht="18">
      <c r="B554" s="1283" t="s">
        <v>1037</v>
      </c>
      <c r="C554" s="34"/>
      <c r="D554" s="34"/>
      <c r="E554" s="34"/>
      <c r="F554" s="24"/>
      <c r="G554" s="59"/>
      <c r="H554" s="1293"/>
    </row>
    <row r="555" spans="2:8" ht="18">
      <c r="B555" s="1297" t="s">
        <v>1038</v>
      </c>
      <c r="C555" s="34"/>
      <c r="D555" s="34"/>
      <c r="E555" s="34"/>
      <c r="F555" s="24"/>
      <c r="G555" s="18">
        <f>-G711</f>
        <v>453421</v>
      </c>
      <c r="H555" s="1244">
        <f>-H711</f>
        <v>1104075</v>
      </c>
    </row>
    <row r="556" spans="2:8" ht="18">
      <c r="B556" s="1297" t="s">
        <v>2917</v>
      </c>
      <c r="C556" s="34"/>
      <c r="D556" s="34"/>
      <c r="E556" s="34"/>
      <c r="F556" s="24"/>
      <c r="G556" s="59"/>
      <c r="H556" s="1293"/>
    </row>
    <row r="557" spans="2:8" ht="18">
      <c r="B557" s="1277" t="s">
        <v>863</v>
      </c>
      <c r="C557" s="34"/>
      <c r="D557" s="34"/>
      <c r="E557" s="34"/>
      <c r="F557" s="24"/>
      <c r="G557" s="59"/>
      <c r="H557" s="1293"/>
    </row>
    <row r="558" spans="2:8" ht="18">
      <c r="B558" s="1277" t="s">
        <v>841</v>
      </c>
      <c r="C558" s="34"/>
      <c r="D558" s="34"/>
      <c r="E558" s="34"/>
      <c r="F558" s="24"/>
      <c r="G558" s="59"/>
      <c r="H558" s="1293"/>
    </row>
    <row r="559" spans="2:8" ht="18">
      <c r="B559" s="1297"/>
      <c r="C559" s="34"/>
      <c r="D559" s="34"/>
      <c r="E559" s="34"/>
      <c r="F559" s="24"/>
      <c r="G559" s="1591">
        <f>+SUM(G555:G557)</f>
        <v>453421</v>
      </c>
      <c r="H559" s="1831">
        <f>+SUM(H555:H557)</f>
        <v>1104075</v>
      </c>
    </row>
    <row r="560" spans="2:8" ht="18">
      <c r="B560" s="1283" t="s">
        <v>1039</v>
      </c>
      <c r="C560" s="34"/>
      <c r="D560" s="34"/>
      <c r="E560" s="34"/>
      <c r="F560" s="24"/>
      <c r="G560" s="59"/>
      <c r="H560" s="1293"/>
    </row>
    <row r="561" spans="2:8" ht="18">
      <c r="B561" s="1243" t="s">
        <v>1040</v>
      </c>
      <c r="C561" s="34"/>
      <c r="D561" s="34"/>
      <c r="E561" s="34"/>
      <c r="F561" s="24"/>
      <c r="G561" s="59">
        <v>0</v>
      </c>
      <c r="H561" s="1293">
        <v>0</v>
      </c>
    </row>
    <row r="562" spans="2:8" ht="18">
      <c r="B562" s="1283"/>
      <c r="C562" s="34"/>
      <c r="D562" s="34"/>
      <c r="E562" s="34"/>
      <c r="F562" s="24"/>
      <c r="G562" s="59"/>
      <c r="H562" s="1293"/>
    </row>
    <row r="563" spans="2:8" ht="18">
      <c r="B563" s="1297"/>
      <c r="C563" s="34"/>
      <c r="D563" s="34"/>
      <c r="E563" s="34"/>
      <c r="F563" s="24"/>
      <c r="G563" s="1591">
        <v>0</v>
      </c>
      <c r="H563" s="1831">
        <v>0</v>
      </c>
    </row>
    <row r="564" spans="2:8" ht="18.600000000000001" thickBot="1">
      <c r="B564" s="1283" t="s">
        <v>1041</v>
      </c>
      <c r="C564" s="34"/>
      <c r="D564" s="34"/>
      <c r="E564" s="34"/>
      <c r="F564" s="24"/>
      <c r="G564" s="101">
        <f>G563+G559</f>
        <v>453421</v>
      </c>
      <c r="H564" s="1376">
        <f>H563+H559</f>
        <v>1104075</v>
      </c>
    </row>
    <row r="565" spans="2:8" ht="18.600000000000001" thickTop="1">
      <c r="B565" s="1283"/>
      <c r="C565" s="34"/>
      <c r="D565" s="34"/>
      <c r="E565" s="34"/>
      <c r="F565" s="24"/>
      <c r="G565" s="20"/>
      <c r="H565" s="1246"/>
    </row>
    <row r="566" spans="2:8" ht="18">
      <c r="B566" s="1348" t="s">
        <v>2816</v>
      </c>
      <c r="C566" s="34"/>
      <c r="D566" s="34"/>
      <c r="E566" s="34"/>
      <c r="F566" s="24"/>
      <c r="G566" s="20"/>
      <c r="H566" s="1246"/>
    </row>
    <row r="567" spans="2:8" ht="18">
      <c r="B567" s="1297" t="s">
        <v>1042</v>
      </c>
      <c r="C567" s="34"/>
      <c r="D567" s="34"/>
      <c r="E567" s="34"/>
      <c r="F567" s="24"/>
      <c r="G567" s="18">
        <f>+G99</f>
        <v>-37729675.915287264</v>
      </c>
      <c r="H567" s="1244">
        <f>+H99</f>
        <v>3825288.9905461473</v>
      </c>
    </row>
    <row r="568" spans="2:8" ht="18">
      <c r="B568" s="2133" t="s">
        <v>1043</v>
      </c>
      <c r="C568" s="2134"/>
      <c r="D568" s="2134"/>
      <c r="E568" s="2134"/>
      <c r="F568" s="2148"/>
      <c r="G568" s="18">
        <f>+G323</f>
        <v>2692265</v>
      </c>
      <c r="H568" s="1244">
        <f>+H323</f>
        <v>2692265</v>
      </c>
    </row>
    <row r="569" spans="2:8" ht="18">
      <c r="B569" s="1297" t="s">
        <v>1044</v>
      </c>
      <c r="C569" s="34"/>
      <c r="D569" s="34"/>
      <c r="E569" s="34"/>
      <c r="F569" s="102"/>
      <c r="G569" s="103">
        <f>+G567/G568</f>
        <v>-14.014101849293166</v>
      </c>
      <c r="H569" s="1377">
        <f>+H567/H568</f>
        <v>1.4208441555887505</v>
      </c>
    </row>
    <row r="570" spans="2:8" ht="18">
      <c r="B570" s="1297" t="s">
        <v>1045</v>
      </c>
      <c r="C570" s="34"/>
      <c r="D570" s="34"/>
      <c r="E570" s="34"/>
      <c r="F570" s="104"/>
      <c r="G570" s="103">
        <f>+G567/G568</f>
        <v>-14.014101849293166</v>
      </c>
      <c r="H570" s="1377">
        <f>+H567/H568</f>
        <v>1.4208441555887505</v>
      </c>
    </row>
    <row r="571" spans="2:8" ht="18.600000000000001" thickBot="1">
      <c r="B571" s="1232"/>
      <c r="C571" s="1233"/>
      <c r="D571" s="1233"/>
      <c r="E571" s="1233"/>
      <c r="F571" s="1592"/>
      <c r="G571" s="1561"/>
      <c r="H571" s="1562"/>
    </row>
    <row r="572" spans="2:8" ht="18">
      <c r="B572" s="2102" t="s">
        <v>785</v>
      </c>
      <c r="C572" s="2103"/>
      <c r="D572" s="2103"/>
      <c r="E572" s="2103"/>
      <c r="F572" s="2103"/>
      <c r="G572" s="2103"/>
      <c r="H572" s="2104"/>
    </row>
    <row r="573" spans="2:8" ht="18">
      <c r="B573" s="2124" t="s">
        <v>2241</v>
      </c>
      <c r="C573" s="2125"/>
      <c r="D573" s="2125"/>
      <c r="E573" s="2125"/>
      <c r="F573" s="2125"/>
      <c r="G573" s="2125"/>
      <c r="H573" s="2126"/>
    </row>
    <row r="574" spans="2:8" ht="18">
      <c r="B574" s="1531"/>
      <c r="C574" s="1529"/>
      <c r="D574" s="1529"/>
      <c r="E574" s="1529"/>
      <c r="F574" s="1529"/>
      <c r="G574" s="1529"/>
      <c r="H574" s="1530"/>
    </row>
    <row r="575" spans="2:8" ht="18">
      <c r="B575" s="1287" t="s">
        <v>0</v>
      </c>
      <c r="C575" s="1288"/>
      <c r="D575" s="1288"/>
      <c r="E575" s="1288"/>
      <c r="F575" s="1271"/>
      <c r="G575" s="1237" t="s">
        <v>788</v>
      </c>
      <c r="H575" s="1238" t="s">
        <v>788</v>
      </c>
    </row>
    <row r="576" spans="2:8" ht="18">
      <c r="B576" s="1269"/>
      <c r="C576" s="55"/>
      <c r="D576" s="55"/>
      <c r="E576" s="55"/>
      <c r="F576" s="40"/>
      <c r="G576" s="41" t="str">
        <f>+G5</f>
        <v>March 31, 2023 (₹)</v>
      </c>
      <c r="H576" s="1272" t="str">
        <f>+H5</f>
        <v>March 31, 2022 (₹)</v>
      </c>
    </row>
    <row r="577" spans="2:8" ht="18">
      <c r="B577" s="1283"/>
      <c r="C577" s="34"/>
      <c r="D577" s="34"/>
      <c r="E577" s="34"/>
      <c r="F577" s="24"/>
      <c r="G577" s="1589"/>
      <c r="H577" s="1590"/>
    </row>
    <row r="578" spans="2:8" ht="18">
      <c r="B578" s="1348" t="s">
        <v>2817</v>
      </c>
      <c r="C578" s="34"/>
      <c r="D578" s="34"/>
      <c r="E578" s="34"/>
      <c r="F578" s="24"/>
      <c r="G578" s="32"/>
      <c r="H578" s="1265"/>
    </row>
    <row r="579" spans="2:8" ht="18">
      <c r="B579" s="1283"/>
      <c r="C579" s="34"/>
      <c r="D579" s="34"/>
      <c r="E579" s="34"/>
      <c r="F579" s="24"/>
      <c r="G579" s="32"/>
      <c r="H579" s="1265"/>
    </row>
    <row r="580" spans="2:8" ht="18">
      <c r="B580" s="1283" t="s">
        <v>1046</v>
      </c>
      <c r="C580" s="34"/>
      <c r="D580" s="34"/>
      <c r="E580" s="34"/>
      <c r="F580" s="24"/>
      <c r="G580" s="32"/>
      <c r="H580" s="1265"/>
    </row>
    <row r="581" spans="2:8" ht="18">
      <c r="B581" s="1297" t="s">
        <v>1047</v>
      </c>
      <c r="C581" s="34"/>
      <c r="D581" s="34"/>
      <c r="E581" s="34"/>
      <c r="F581" s="24"/>
      <c r="G581" s="32">
        <f>+'CLOSING STOCK 22-23'!J21</f>
        <v>253815527</v>
      </c>
      <c r="H581" s="1265">
        <v>160474427</v>
      </c>
    </row>
    <row r="582" spans="2:8" ht="18">
      <c r="B582" s="1297" t="s">
        <v>1048</v>
      </c>
      <c r="C582" s="34"/>
      <c r="D582" s="34"/>
      <c r="E582" s="34"/>
      <c r="F582" s="24"/>
      <c r="G582" s="32">
        <v>0</v>
      </c>
      <c r="H582" s="1265">
        <v>4814932</v>
      </c>
    </row>
    <row r="583" spans="2:8" ht="18">
      <c r="B583" s="1297" t="s">
        <v>1049</v>
      </c>
      <c r="C583" s="34"/>
      <c r="D583" s="34"/>
      <c r="E583" s="34"/>
      <c r="F583" s="24"/>
      <c r="G583" s="32">
        <v>626391</v>
      </c>
      <c r="H583" s="1265">
        <v>586974</v>
      </c>
    </row>
    <row r="584" spans="2:8" ht="18">
      <c r="B584" s="1283"/>
      <c r="C584" s="34"/>
      <c r="D584" s="34"/>
      <c r="E584" s="34"/>
      <c r="F584" s="24"/>
      <c r="G584" s="32"/>
      <c r="H584" s="1265"/>
    </row>
    <row r="585" spans="2:8" ht="18">
      <c r="B585" s="1283" t="s">
        <v>1050</v>
      </c>
      <c r="C585" s="34"/>
      <c r="D585" s="34"/>
      <c r="E585" s="34"/>
      <c r="F585" s="24"/>
      <c r="G585" s="32"/>
      <c r="H585" s="1265"/>
    </row>
    <row r="586" spans="2:8" ht="18">
      <c r="B586" s="1283" t="s">
        <v>1051</v>
      </c>
      <c r="C586" s="34"/>
      <c r="D586" s="34"/>
      <c r="E586" s="34"/>
      <c r="F586" s="24"/>
      <c r="G586" s="32"/>
      <c r="H586" s="1265"/>
    </row>
    <row r="587" spans="2:8" ht="18">
      <c r="B587" s="1297" t="s">
        <v>1052</v>
      </c>
      <c r="C587" s="34"/>
      <c r="D587" s="34"/>
      <c r="E587" s="34"/>
      <c r="F587" s="24"/>
      <c r="G587" s="32">
        <f>+'CLOSING STOCK 22-23'!P23</f>
        <v>33334557.8336384</v>
      </c>
      <c r="H587" s="1265">
        <v>20524475</v>
      </c>
    </row>
    <row r="588" spans="2:8" ht="18">
      <c r="B588" s="1297" t="s">
        <v>1053</v>
      </c>
      <c r="C588" s="34"/>
      <c r="D588" s="34"/>
      <c r="E588" s="34"/>
      <c r="F588" s="24"/>
      <c r="G588" s="32">
        <f>+'CLOSING STOCK 22-23'!P27</f>
        <v>1216175</v>
      </c>
      <c r="H588" s="1265">
        <v>2975248</v>
      </c>
    </row>
    <row r="589" spans="2:8" ht="18">
      <c r="B589" s="1283"/>
      <c r="C589" s="34"/>
      <c r="D589" s="34"/>
      <c r="E589" s="34"/>
      <c r="F589" s="24"/>
      <c r="G589" s="32"/>
      <c r="H589" s="1265"/>
    </row>
    <row r="590" spans="2:8" ht="18">
      <c r="B590" s="1283" t="s">
        <v>1054</v>
      </c>
      <c r="C590" s="34"/>
      <c r="D590" s="34"/>
      <c r="E590" s="34"/>
      <c r="F590" s="24"/>
      <c r="G590" s="32"/>
      <c r="H590" s="1265"/>
    </row>
    <row r="591" spans="2:8" ht="18">
      <c r="B591" s="1297" t="s">
        <v>1055</v>
      </c>
      <c r="C591" s="34"/>
      <c r="D591" s="34"/>
      <c r="E591" s="34"/>
      <c r="F591" s="24"/>
      <c r="G591" s="32">
        <f>+'CLOSING STOCK 22-23'!P35</f>
        <v>16465227</v>
      </c>
      <c r="H591" s="1265">
        <v>17088292</v>
      </c>
    </row>
    <row r="592" spans="2:8" ht="18">
      <c r="B592" s="1283"/>
      <c r="C592" s="34"/>
      <c r="D592" s="34"/>
      <c r="E592" s="34"/>
      <c r="F592" s="24"/>
      <c r="G592" s="32"/>
      <c r="H592" s="1265"/>
    </row>
    <row r="593" spans="2:8" ht="18">
      <c r="B593" s="2145" t="s">
        <v>1056</v>
      </c>
      <c r="C593" s="2146"/>
      <c r="D593" s="2146"/>
      <c r="E593" s="2146"/>
      <c r="F593" s="2149"/>
      <c r="G593" s="105"/>
      <c r="H593" s="1378"/>
    </row>
    <row r="594" spans="2:8" ht="18">
      <c r="B594" s="1379" t="s">
        <v>1057</v>
      </c>
      <c r="C594" s="106"/>
      <c r="D594" s="106"/>
      <c r="E594" s="106"/>
      <c r="F594" s="107"/>
      <c r="G594" s="105"/>
      <c r="H594" s="1378"/>
    </row>
    <row r="595" spans="2:8" ht="18">
      <c r="B595" s="1379" t="s">
        <v>1058</v>
      </c>
      <c r="C595" s="106"/>
      <c r="D595" s="106"/>
      <c r="E595" s="106"/>
      <c r="F595" s="107"/>
      <c r="G595" s="105"/>
      <c r="H595" s="1378"/>
    </row>
    <row r="596" spans="2:8" ht="18">
      <c r="B596" s="1375" t="s">
        <v>1052</v>
      </c>
      <c r="C596" s="34"/>
      <c r="D596" s="34"/>
      <c r="E596" s="34"/>
      <c r="F596" s="24"/>
      <c r="G596" s="32"/>
      <c r="H596" s="1265"/>
    </row>
    <row r="597" spans="2:8" ht="18">
      <c r="B597" s="1297" t="s">
        <v>1059</v>
      </c>
      <c r="C597" s="34"/>
      <c r="D597" s="34"/>
      <c r="E597" s="34"/>
      <c r="F597" s="24"/>
      <c r="G597" s="32">
        <f>+'CLOSING STOCK 22-23'!M21</f>
        <v>254674839</v>
      </c>
      <c r="H597" s="1265">
        <v>183418092</v>
      </c>
    </row>
    <row r="598" spans="2:8" ht="18">
      <c r="B598" s="1297" t="s">
        <v>1060</v>
      </c>
      <c r="C598" s="34"/>
      <c r="D598" s="34"/>
      <c r="E598" s="34"/>
      <c r="F598" s="24"/>
      <c r="G598" s="108">
        <f>+G597/(G597+G607)</f>
        <v>0.33546893070860256</v>
      </c>
      <c r="H598" s="1380">
        <f>+H597/(H597+H607)</f>
        <v>0.22408172870255044</v>
      </c>
    </row>
    <row r="599" spans="2:8" ht="18">
      <c r="B599" s="1283"/>
      <c r="C599" s="34"/>
      <c r="D599" s="34"/>
      <c r="E599" s="34"/>
      <c r="F599" s="24"/>
      <c r="G599" s="32"/>
      <c r="H599" s="1265"/>
    </row>
    <row r="600" spans="2:8" ht="18">
      <c r="B600" s="1375" t="s">
        <v>1049</v>
      </c>
      <c r="C600" s="34"/>
      <c r="D600" s="34"/>
      <c r="E600" s="34"/>
      <c r="F600" s="24"/>
      <c r="G600" s="32"/>
      <c r="H600" s="1265"/>
    </row>
    <row r="601" spans="2:8" ht="18">
      <c r="B601" s="1297" t="s">
        <v>1059</v>
      </c>
      <c r="C601" s="34"/>
      <c r="D601" s="34"/>
      <c r="E601" s="34"/>
      <c r="F601" s="24"/>
      <c r="G601" s="32">
        <f>+G583</f>
        <v>626391</v>
      </c>
      <c r="H601" s="1265">
        <f>+H583</f>
        <v>586974</v>
      </c>
    </row>
    <row r="602" spans="2:8" ht="18">
      <c r="B602" s="1297" t="s">
        <v>1060</v>
      </c>
      <c r="C602" s="34"/>
      <c r="D602" s="34"/>
      <c r="E602" s="34"/>
      <c r="F602" s="24"/>
      <c r="G602" s="108">
        <f>+G601/(G601+G615)</f>
        <v>4.5735501367238807E-2</v>
      </c>
      <c r="H602" s="1380">
        <f>+H601/(H601+H615)</f>
        <v>3.3177325789623804E-2</v>
      </c>
    </row>
    <row r="603" spans="2:8" ht="18">
      <c r="B603" s="1283"/>
      <c r="C603" s="34"/>
      <c r="D603" s="34"/>
      <c r="E603" s="34"/>
      <c r="F603" s="24"/>
      <c r="G603" s="32"/>
      <c r="H603" s="1265"/>
    </row>
    <row r="604" spans="2:8" ht="18">
      <c r="B604" s="1379" t="s">
        <v>1061</v>
      </c>
      <c r="C604" s="106"/>
      <c r="D604" s="106"/>
      <c r="E604" s="106"/>
      <c r="F604" s="107"/>
      <c r="G604" s="105"/>
      <c r="H604" s="1378"/>
    </row>
    <row r="605" spans="2:8" ht="18">
      <c r="B605" s="1379" t="s">
        <v>1058</v>
      </c>
      <c r="C605" s="106"/>
      <c r="D605" s="106"/>
      <c r="E605" s="106"/>
      <c r="F605" s="107"/>
      <c r="G605" s="105"/>
      <c r="H605" s="1378"/>
    </row>
    <row r="606" spans="2:8" ht="18">
      <c r="B606" s="1375" t="s">
        <v>1052</v>
      </c>
      <c r="C606" s="34"/>
      <c r="D606" s="34"/>
      <c r="E606" s="34"/>
      <c r="F606" s="24"/>
      <c r="G606" s="32"/>
      <c r="H606" s="1265"/>
    </row>
    <row r="607" spans="2:8" ht="18">
      <c r="B607" s="1297" t="s">
        <v>1059</v>
      </c>
      <c r="C607" s="34"/>
      <c r="D607" s="34"/>
      <c r="E607" s="34"/>
      <c r="F607" s="24"/>
      <c r="G607" s="32">
        <f>+'CLOSING STOCK 22-23'!M9</f>
        <v>504485893</v>
      </c>
      <c r="H607" s="1265">
        <v>635114026</v>
      </c>
    </row>
    <row r="608" spans="2:8" ht="18">
      <c r="B608" s="1297" t="s">
        <v>1060</v>
      </c>
      <c r="C608" s="34"/>
      <c r="D608" s="34"/>
      <c r="E608" s="34"/>
      <c r="F608" s="24"/>
      <c r="G608" s="108">
        <f>+G607/(G597+G607)</f>
        <v>0.66453106929139749</v>
      </c>
      <c r="H608" s="1380">
        <f>+H607/(H597+H607)</f>
        <v>0.77591827129744961</v>
      </c>
    </row>
    <row r="609" spans="2:8" ht="18">
      <c r="B609" s="1283"/>
      <c r="C609" s="34"/>
      <c r="D609" s="34"/>
      <c r="E609" s="34"/>
      <c r="F609" s="24"/>
      <c r="G609" s="32"/>
      <c r="H609" s="1265"/>
    </row>
    <row r="610" spans="2:8" ht="18">
      <c r="B610" s="1375" t="s">
        <v>1053</v>
      </c>
      <c r="C610" s="34"/>
      <c r="D610" s="34"/>
      <c r="E610" s="34"/>
      <c r="F610" s="24"/>
      <c r="G610" s="32"/>
      <c r="H610" s="1265"/>
    </row>
    <row r="611" spans="2:8" ht="18">
      <c r="B611" s="1297" t="s">
        <v>1059</v>
      </c>
      <c r="C611" s="34"/>
      <c r="D611" s="34"/>
      <c r="E611" s="34"/>
      <c r="F611" s="24"/>
      <c r="G611" s="18">
        <f>+'CLOSING STOCK 22-23'!M27</f>
        <v>53861149</v>
      </c>
      <c r="H611" s="1244">
        <v>48552016</v>
      </c>
    </row>
    <row r="612" spans="2:8" ht="18">
      <c r="B612" s="1297" t="s">
        <v>1060</v>
      </c>
      <c r="C612" s="34"/>
      <c r="D612" s="34"/>
      <c r="E612" s="34"/>
      <c r="F612" s="24"/>
      <c r="G612" s="108">
        <v>1</v>
      </c>
      <c r="H612" s="1380">
        <v>1</v>
      </c>
    </row>
    <row r="613" spans="2:8" ht="18">
      <c r="B613" s="1283"/>
      <c r="C613" s="34"/>
      <c r="D613" s="34"/>
      <c r="E613" s="34"/>
      <c r="F613" s="24"/>
      <c r="G613" s="32"/>
      <c r="H613" s="1265"/>
    </row>
    <row r="614" spans="2:8" ht="18">
      <c r="B614" s="1375" t="s">
        <v>1049</v>
      </c>
      <c r="C614" s="34"/>
      <c r="D614" s="34"/>
      <c r="E614" s="34"/>
      <c r="F614" s="24"/>
      <c r="G614" s="32"/>
      <c r="H614" s="1265"/>
    </row>
    <row r="615" spans="2:8" ht="18">
      <c r="B615" s="1297" t="s">
        <v>1059</v>
      </c>
      <c r="C615" s="34"/>
      <c r="D615" s="34"/>
      <c r="E615" s="34"/>
      <c r="F615" s="24"/>
      <c r="G615" s="18">
        <f>+G511</f>
        <v>13069555.939999998</v>
      </c>
      <c r="H615" s="1244">
        <f>+H511</f>
        <v>17105048.670000002</v>
      </c>
    </row>
    <row r="616" spans="2:8" ht="18">
      <c r="B616" s="1297" t="s">
        <v>1060</v>
      </c>
      <c r="C616" s="34"/>
      <c r="D616" s="34"/>
      <c r="E616" s="34"/>
      <c r="F616" s="24"/>
      <c r="G616" s="108">
        <f>+G615/(G615+G601)</f>
        <v>0.95426449863276119</v>
      </c>
      <c r="H616" s="1380">
        <f>+H615/(H615+H601)</f>
        <v>0.96682267421037615</v>
      </c>
    </row>
    <row r="617" spans="2:8" ht="18">
      <c r="B617" s="1283"/>
      <c r="C617" s="34"/>
      <c r="D617" s="34"/>
      <c r="E617" s="34"/>
      <c r="F617" s="24"/>
      <c r="G617" s="32"/>
      <c r="H617" s="1265"/>
    </row>
    <row r="618" spans="2:8" ht="18">
      <c r="B618" s="1283" t="s">
        <v>1062</v>
      </c>
      <c r="C618" s="34"/>
      <c r="D618" s="34"/>
      <c r="E618" s="34"/>
      <c r="F618" s="24"/>
      <c r="G618" s="32"/>
      <c r="H618" s="1265"/>
    </row>
    <row r="619" spans="2:8" ht="18">
      <c r="B619" s="1283" t="s">
        <v>1055</v>
      </c>
      <c r="C619" s="34"/>
      <c r="D619" s="34"/>
      <c r="E619" s="34"/>
      <c r="F619" s="24"/>
      <c r="G619" s="32"/>
      <c r="H619" s="1265"/>
    </row>
    <row r="620" spans="2:8" ht="18">
      <c r="B620" s="1375" t="s">
        <v>1063</v>
      </c>
      <c r="C620" s="34"/>
      <c r="D620" s="34"/>
      <c r="E620" s="34"/>
      <c r="F620" s="24"/>
      <c r="G620" s="32"/>
      <c r="H620" s="1265"/>
    </row>
    <row r="621" spans="2:8" ht="18">
      <c r="B621" s="1297" t="s">
        <v>1055</v>
      </c>
      <c r="C621" s="34"/>
      <c r="D621" s="34"/>
      <c r="E621" s="34"/>
      <c r="F621" s="24"/>
      <c r="G621" s="18">
        <f>+G474</f>
        <v>1052317702.4200001</v>
      </c>
      <c r="H621" s="1244">
        <f>+H474</f>
        <v>1124021510.75</v>
      </c>
    </row>
    <row r="622" spans="2:8" ht="18.600000000000001" thickBot="1">
      <c r="B622" s="1442"/>
      <c r="C622" s="1233"/>
      <c r="D622" s="1233"/>
      <c r="E622" s="1233"/>
      <c r="F622" s="1443"/>
      <c r="G622" s="1444"/>
      <c r="H622" s="1439"/>
    </row>
    <row r="623" spans="2:8" ht="18">
      <c r="B623" s="2119" t="s">
        <v>785</v>
      </c>
      <c r="C623" s="2120"/>
      <c r="D623" s="2120"/>
      <c r="E623" s="2120"/>
      <c r="F623" s="2120"/>
      <c r="G623" s="2120"/>
      <c r="H623" s="2121"/>
    </row>
    <row r="624" spans="2:8" ht="18">
      <c r="B624" s="2099" t="s">
        <v>2241</v>
      </c>
      <c r="C624" s="2100"/>
      <c r="D624" s="2100"/>
      <c r="E624" s="2100"/>
      <c r="F624" s="2100"/>
      <c r="G624" s="2100"/>
      <c r="H624" s="2101"/>
    </row>
    <row r="625" spans="2:8" ht="18">
      <c r="B625" s="1229"/>
      <c r="C625" s="34"/>
      <c r="D625" s="34"/>
      <c r="E625" s="34"/>
      <c r="F625" s="92"/>
      <c r="G625" s="1237" t="s">
        <v>840</v>
      </c>
      <c r="H625" s="1238" t="s">
        <v>840</v>
      </c>
    </row>
    <row r="626" spans="2:8" ht="18">
      <c r="B626" s="1310" t="s">
        <v>2818</v>
      </c>
      <c r="C626" s="34"/>
      <c r="D626" s="34"/>
      <c r="E626" s="34"/>
      <c r="F626" s="24"/>
      <c r="G626" s="16" t="str">
        <f>+G5</f>
        <v>March 31, 2023 (₹)</v>
      </c>
      <c r="H626" s="1240" t="str">
        <f>+H5</f>
        <v>March 31, 2022 (₹)</v>
      </c>
    </row>
    <row r="627" spans="2:8" ht="18">
      <c r="B627" s="1297" t="s">
        <v>1064</v>
      </c>
      <c r="C627" s="34"/>
      <c r="D627" s="34"/>
      <c r="E627" s="34"/>
      <c r="F627" s="24"/>
      <c r="G627" s="21">
        <f>+G522</f>
        <v>275000</v>
      </c>
      <c r="H627" s="1248">
        <f>+H522</f>
        <v>275000</v>
      </c>
    </row>
    <row r="628" spans="2:8" ht="18">
      <c r="B628" s="1297" t="s">
        <v>61</v>
      </c>
      <c r="C628" s="34"/>
      <c r="D628" s="34"/>
      <c r="E628" s="34"/>
      <c r="F628" s="24"/>
      <c r="G628" s="84">
        <v>0</v>
      </c>
      <c r="H628" s="1327">
        <v>0</v>
      </c>
    </row>
    <row r="629" spans="2:8" ht="18">
      <c r="B629" s="1297"/>
      <c r="C629" s="34"/>
      <c r="D629" s="34"/>
      <c r="E629" s="34"/>
      <c r="F629" s="24"/>
      <c r="G629" s="84">
        <f>+G627+G628</f>
        <v>275000</v>
      </c>
      <c r="H629" s="1327">
        <f>+H627+H628</f>
        <v>275000</v>
      </c>
    </row>
    <row r="630" spans="2:8" ht="18">
      <c r="B630" s="1297"/>
      <c r="C630" s="34"/>
      <c r="D630" s="34"/>
      <c r="E630" s="34"/>
      <c r="F630" s="1999"/>
      <c r="G630" s="1366"/>
      <c r="H630" s="1367"/>
    </row>
    <row r="631" spans="2:8" ht="18">
      <c r="B631" s="1348" t="s">
        <v>2819</v>
      </c>
      <c r="C631" s="34"/>
      <c r="D631" s="34"/>
      <c r="E631" s="34"/>
      <c r="F631" s="1999"/>
      <c r="G631" s="78"/>
      <c r="H631" s="1337"/>
    </row>
    <row r="632" spans="2:8" ht="18">
      <c r="B632" s="1297" t="s">
        <v>2918</v>
      </c>
      <c r="C632" s="34"/>
      <c r="D632" s="34"/>
      <c r="E632" s="34"/>
      <c r="F632" s="1999"/>
      <c r="G632" s="1237" t="s">
        <v>840</v>
      </c>
      <c r="H632" s="1238" t="s">
        <v>840</v>
      </c>
    </row>
    <row r="633" spans="2:8" ht="18">
      <c r="B633" s="1818" t="s">
        <v>532</v>
      </c>
      <c r="C633" s="1351"/>
      <c r="D633" s="1351"/>
      <c r="E633" s="1381"/>
      <c r="F633" s="1771" t="s">
        <v>1065</v>
      </c>
      <c r="G633" s="16" t="str">
        <f>+G626</f>
        <v>March 31, 2023 (₹)</v>
      </c>
      <c r="H633" s="1240" t="str">
        <f>+H626</f>
        <v>March 31, 2022 (₹)</v>
      </c>
    </row>
    <row r="634" spans="2:8" ht="18">
      <c r="B634" s="1283" t="s">
        <v>15</v>
      </c>
      <c r="C634" s="34"/>
      <c r="D634" s="34"/>
      <c r="E634" s="34"/>
      <c r="F634" s="109"/>
      <c r="G634" s="20"/>
      <c r="H634" s="1246"/>
    </row>
    <row r="635" spans="2:8" ht="18">
      <c r="B635" s="1297" t="s">
        <v>1066</v>
      </c>
      <c r="C635" s="34"/>
      <c r="D635" s="34"/>
      <c r="E635" s="34"/>
      <c r="F635" s="110">
        <v>6</v>
      </c>
      <c r="G635" s="18">
        <f t="shared" ref="G635:H637" si="16">+G17</f>
        <v>115802242.14</v>
      </c>
      <c r="H635" s="1244">
        <f t="shared" si="16"/>
        <v>166554746.43000001</v>
      </c>
    </row>
    <row r="636" spans="2:8" ht="18">
      <c r="B636" s="1297" t="s">
        <v>1067</v>
      </c>
      <c r="C636" s="34"/>
      <c r="D636" s="34"/>
      <c r="E636" s="34"/>
      <c r="F636" s="110">
        <v>7</v>
      </c>
      <c r="G636" s="18">
        <f t="shared" si="16"/>
        <v>239775.64</v>
      </c>
      <c r="H636" s="1244">
        <f t="shared" si="16"/>
        <v>79146.64</v>
      </c>
    </row>
    <row r="637" spans="2:8" ht="18">
      <c r="B637" s="1297" t="s">
        <v>3138</v>
      </c>
      <c r="C637" s="34"/>
      <c r="D637" s="34"/>
      <c r="E637" s="34"/>
      <c r="F637" s="110">
        <v>8</v>
      </c>
      <c r="G637" s="59">
        <f t="shared" si="16"/>
        <v>7427000</v>
      </c>
      <c r="H637" s="1293">
        <f t="shared" si="16"/>
        <v>8362500</v>
      </c>
    </row>
    <row r="638" spans="2:8" ht="18">
      <c r="B638" s="1297"/>
      <c r="C638" s="34"/>
      <c r="D638" s="34"/>
      <c r="E638" s="34"/>
      <c r="F638" s="110"/>
      <c r="G638" s="1582">
        <f>+SUM(G635:G637)</f>
        <v>123469017.78</v>
      </c>
      <c r="H638" s="1825">
        <f>+SUM(H635:H637)</f>
        <v>174996393.06999999</v>
      </c>
    </row>
    <row r="639" spans="2:8" ht="18">
      <c r="B639" s="1283" t="s">
        <v>810</v>
      </c>
      <c r="C639" s="34"/>
      <c r="D639" s="34"/>
      <c r="E639" s="34"/>
      <c r="F639" s="110"/>
      <c r="G639" s="81"/>
      <c r="H639" s="1324"/>
    </row>
    <row r="640" spans="2:8" ht="18">
      <c r="B640" s="1297" t="s">
        <v>1069</v>
      </c>
      <c r="C640" s="34"/>
      <c r="D640" s="34"/>
      <c r="E640" s="34"/>
      <c r="F640" s="110">
        <v>15</v>
      </c>
      <c r="G640" s="59">
        <f t="shared" ref="G640:H642" si="17">+G39</f>
        <v>101274693.28</v>
      </c>
      <c r="H640" s="1293">
        <f t="shared" si="17"/>
        <v>77209079.569999993</v>
      </c>
    </row>
    <row r="641" spans="2:8" ht="18">
      <c r="B641" s="1297" t="s">
        <v>1070</v>
      </c>
      <c r="C641" s="34"/>
      <c r="D641" s="34"/>
      <c r="E641" s="34"/>
      <c r="F641" s="110">
        <v>16</v>
      </c>
      <c r="G641" s="59">
        <f t="shared" si="17"/>
        <v>91597921.990151003</v>
      </c>
      <c r="H641" s="1293">
        <f t="shared" si="17"/>
        <v>87356478.839999989</v>
      </c>
    </row>
    <row r="642" spans="2:8" ht="18">
      <c r="B642" s="1297" t="s">
        <v>1071</v>
      </c>
      <c r="C642" s="34"/>
      <c r="D642" s="34"/>
      <c r="E642" s="34"/>
      <c r="F642" s="110">
        <v>17</v>
      </c>
      <c r="G642" s="59">
        <f t="shared" si="17"/>
        <v>6397608</v>
      </c>
      <c r="H642" s="1293">
        <f t="shared" si="17"/>
        <v>1152229</v>
      </c>
    </row>
    <row r="643" spans="2:8" ht="18">
      <c r="B643" s="2150" t="s">
        <v>911</v>
      </c>
      <c r="C643" s="2151"/>
      <c r="D643" s="2151"/>
      <c r="E643" s="2151"/>
      <c r="F643" s="2152"/>
      <c r="G643" s="1582">
        <f>+SUM(G640:G642)</f>
        <v>199270223.27015102</v>
      </c>
      <c r="H643" s="1825">
        <f>+SUM(H640:H642)</f>
        <v>165717787.40999997</v>
      </c>
    </row>
    <row r="644" spans="2:8" ht="18">
      <c r="B644" s="1283" t="s">
        <v>1072</v>
      </c>
      <c r="C644" s="34"/>
      <c r="D644" s="34"/>
      <c r="E644" s="34"/>
      <c r="F644" s="2047"/>
      <c r="G644" s="36"/>
      <c r="H644" s="1267"/>
    </row>
    <row r="645" spans="2:8" ht="35.25" customHeight="1">
      <c r="B645" s="2133" t="s">
        <v>1073</v>
      </c>
      <c r="C645" s="2134"/>
      <c r="D645" s="2134"/>
      <c r="E645" s="2134"/>
      <c r="F645" s="2134"/>
      <c r="G645" s="2134"/>
      <c r="H645" s="2135"/>
    </row>
    <row r="646" spans="2:8" ht="18">
      <c r="B646" s="1283" t="s">
        <v>1074</v>
      </c>
      <c r="C646" s="34"/>
      <c r="D646" s="34"/>
      <c r="E646" s="34"/>
      <c r="F646" s="2047"/>
      <c r="G646" s="36"/>
      <c r="H646" s="1267"/>
    </row>
    <row r="647" spans="2:8" ht="92.25" customHeight="1">
      <c r="B647" s="2133" t="s">
        <v>1075</v>
      </c>
      <c r="C647" s="2134"/>
      <c r="D647" s="2134"/>
      <c r="E647" s="2134"/>
      <c r="F647" s="2134"/>
      <c r="G647" s="2134"/>
      <c r="H647" s="2135"/>
    </row>
    <row r="648" spans="2:8" ht="18">
      <c r="B648" s="1283" t="s">
        <v>1076</v>
      </c>
      <c r="C648" s="34"/>
      <c r="D648" s="34"/>
      <c r="E648" s="34"/>
      <c r="F648" s="2047"/>
      <c r="G648" s="36"/>
      <c r="H648" s="1267"/>
    </row>
    <row r="649" spans="2:8" ht="18">
      <c r="B649" s="1297" t="s">
        <v>1077</v>
      </c>
      <c r="C649" s="34"/>
      <c r="D649" s="34"/>
      <c r="E649" s="34"/>
      <c r="F649" s="2047"/>
      <c r="G649" s="36"/>
      <c r="H649" s="1267"/>
    </row>
    <row r="650" spans="2:8" ht="57" customHeight="1">
      <c r="B650" s="2133" t="s">
        <v>1078</v>
      </c>
      <c r="C650" s="2134"/>
      <c r="D650" s="2134"/>
      <c r="E650" s="2134"/>
      <c r="F650" s="2134"/>
      <c r="G650" s="2134"/>
      <c r="H650" s="2135"/>
    </row>
    <row r="651" spans="2:8" ht="19.5" customHeight="1">
      <c r="B651" s="1335" t="s">
        <v>1079</v>
      </c>
      <c r="C651" s="111"/>
      <c r="D651" s="111"/>
      <c r="E651" s="111"/>
      <c r="F651" s="111"/>
      <c r="G651" s="111"/>
      <c r="H651" s="1382"/>
    </row>
    <row r="652" spans="2:8" ht="54" customHeight="1">
      <c r="B652" s="2145" t="s">
        <v>1080</v>
      </c>
      <c r="C652" s="2146"/>
      <c r="D652" s="2146"/>
      <c r="E652" s="2146"/>
      <c r="F652" s="2146"/>
      <c r="G652" s="2146"/>
      <c r="H652" s="2147"/>
    </row>
    <row r="653" spans="2:8" ht="37.5" customHeight="1">
      <c r="B653" s="2145" t="s">
        <v>1081</v>
      </c>
      <c r="C653" s="2146"/>
      <c r="D653" s="2146"/>
      <c r="E653" s="2146"/>
      <c r="F653" s="2146"/>
      <c r="G653" s="2146"/>
      <c r="H653" s="2147"/>
    </row>
    <row r="654" spans="2:8" ht="72.75" customHeight="1">
      <c r="B654" s="2133" t="s">
        <v>3139</v>
      </c>
      <c r="C654" s="2134"/>
      <c r="D654" s="2134"/>
      <c r="E654" s="2134"/>
      <c r="F654" s="2134"/>
      <c r="G654" s="2134"/>
      <c r="H654" s="2135"/>
    </row>
    <row r="655" spans="2:8" ht="37.950000000000003" customHeight="1">
      <c r="B655" s="2133" t="s">
        <v>1082</v>
      </c>
      <c r="C655" s="2134"/>
      <c r="D655" s="2134"/>
      <c r="E655" s="2134"/>
      <c r="F655" s="2134"/>
      <c r="G655" s="2134"/>
      <c r="H655" s="2135"/>
    </row>
    <row r="656" spans="2:8" ht="57.75" customHeight="1">
      <c r="B656" s="2133" t="s">
        <v>3140</v>
      </c>
      <c r="C656" s="2134"/>
      <c r="D656" s="2134"/>
      <c r="E656" s="2134"/>
      <c r="F656" s="2134"/>
      <c r="G656" s="2134"/>
      <c r="H656" s="2135"/>
    </row>
    <row r="657" spans="2:8" ht="38.25" customHeight="1">
      <c r="B657" s="2133" t="s">
        <v>1084</v>
      </c>
      <c r="C657" s="2134"/>
      <c r="D657" s="2134"/>
      <c r="E657" s="2134"/>
      <c r="F657" s="2134"/>
      <c r="G657" s="2134"/>
      <c r="H657" s="2135"/>
    </row>
    <row r="658" spans="2:8" ht="56.25" customHeight="1">
      <c r="B658" s="2133" t="s">
        <v>1085</v>
      </c>
      <c r="C658" s="2134"/>
      <c r="D658" s="2134"/>
      <c r="E658" s="2134"/>
      <c r="F658" s="2134"/>
      <c r="G658" s="2134"/>
      <c r="H658" s="2135"/>
    </row>
    <row r="659" spans="2:8" ht="18">
      <c r="B659" s="1379" t="s">
        <v>1086</v>
      </c>
      <c r="C659" s="111"/>
      <c r="D659" s="111"/>
      <c r="E659" s="111"/>
      <c r="F659" s="111"/>
      <c r="G659" s="111"/>
      <c r="H659" s="1382"/>
    </row>
    <row r="660" spans="2:8" ht="52.5" customHeight="1">
      <c r="B660" s="2133" t="s">
        <v>1087</v>
      </c>
      <c r="C660" s="2134"/>
      <c r="D660" s="2134"/>
      <c r="E660" s="2134"/>
      <c r="F660" s="2134"/>
      <c r="G660" s="2134"/>
      <c r="H660" s="2135"/>
    </row>
    <row r="661" spans="2:8" ht="18">
      <c r="B661" s="2074" t="s">
        <v>1088</v>
      </c>
      <c r="C661" s="1384"/>
      <c r="D661" s="1384"/>
      <c r="E661" s="1384"/>
      <c r="F661" s="1385"/>
      <c r="G661" s="1237" t="s">
        <v>840</v>
      </c>
      <c r="H661" s="1238" t="s">
        <v>840</v>
      </c>
    </row>
    <row r="662" spans="2:8" ht="18">
      <c r="B662" s="1269"/>
      <c r="C662" s="55"/>
      <c r="D662" s="55"/>
      <c r="E662" s="55"/>
      <c r="F662" s="112"/>
      <c r="G662" s="16" t="str">
        <f>+G633</f>
        <v>March 31, 2023 (₹)</v>
      </c>
      <c r="H662" s="1240" t="str">
        <f>+H633</f>
        <v>March 31, 2022 (₹)</v>
      </c>
    </row>
    <row r="663" spans="2:8" ht="18">
      <c r="B663" s="1297" t="s">
        <v>1089</v>
      </c>
      <c r="C663" s="34"/>
      <c r="D663" s="34"/>
      <c r="E663" s="34"/>
      <c r="F663" s="113"/>
      <c r="G663" s="18">
        <f>+G367+G372</f>
        <v>61781526.090000004</v>
      </c>
      <c r="H663" s="1244">
        <f>+H367+H372</f>
        <v>19045133</v>
      </c>
    </row>
    <row r="664" spans="2:8" ht="18">
      <c r="B664" s="1297" t="s">
        <v>1090</v>
      </c>
      <c r="C664" s="34"/>
      <c r="D664" s="34"/>
      <c r="E664" s="34"/>
      <c r="F664" s="113"/>
      <c r="G664" s="18">
        <f>+G412</f>
        <v>78274677.280000001</v>
      </c>
      <c r="H664" s="1244">
        <f>+H412</f>
        <v>56842407.57</v>
      </c>
    </row>
    <row r="665" spans="2:8" ht="18">
      <c r="B665" s="1269" t="s">
        <v>1091</v>
      </c>
      <c r="C665" s="55"/>
      <c r="D665" s="55"/>
      <c r="E665" s="55"/>
      <c r="F665" s="112"/>
      <c r="G665" s="18">
        <f>+G408+G409</f>
        <v>23000016</v>
      </c>
      <c r="H665" s="1244">
        <f>+H408+H409</f>
        <v>20366672</v>
      </c>
    </row>
    <row r="666" spans="2:8" ht="18.600000000000001" thickBot="1">
      <c r="B666" s="2139" t="s">
        <v>911</v>
      </c>
      <c r="C666" s="2140"/>
      <c r="D666" s="2140"/>
      <c r="E666" s="2140"/>
      <c r="F666" s="2141"/>
      <c r="G666" s="2048">
        <f>+SUM(G663:G665)</f>
        <v>163056219.37</v>
      </c>
      <c r="H666" s="2049">
        <f>+SUM(H663:H665)</f>
        <v>96254212.569999993</v>
      </c>
    </row>
    <row r="667" spans="2:8" ht="18">
      <c r="B667" s="2119" t="s">
        <v>785</v>
      </c>
      <c r="C667" s="2120"/>
      <c r="D667" s="2120"/>
      <c r="E667" s="2120"/>
      <c r="F667" s="2120"/>
      <c r="G667" s="2120"/>
      <c r="H667" s="2121"/>
    </row>
    <row r="668" spans="2:8" ht="18">
      <c r="B668" s="2142" t="s">
        <v>2241</v>
      </c>
      <c r="C668" s="2143"/>
      <c r="D668" s="2143"/>
      <c r="E668" s="2143"/>
      <c r="F668" s="2143"/>
      <c r="G668" s="2143"/>
      <c r="H668" s="2144"/>
    </row>
    <row r="669" spans="2:8" ht="18">
      <c r="B669" s="1593"/>
      <c r="C669" s="114"/>
      <c r="D669" s="114"/>
      <c r="E669" s="114"/>
      <c r="F669" s="114"/>
      <c r="G669" s="115"/>
      <c r="H669" s="1253"/>
    </row>
    <row r="670" spans="2:8" ht="18">
      <c r="B670" s="1310" t="s">
        <v>2820</v>
      </c>
      <c r="C670" s="114"/>
      <c r="D670" s="114"/>
      <c r="E670" s="114"/>
      <c r="F670" s="114"/>
      <c r="G670" s="115"/>
      <c r="H670" s="1253"/>
    </row>
    <row r="671" spans="2:8" ht="75" customHeight="1">
      <c r="B671" s="2133" t="s">
        <v>1092</v>
      </c>
      <c r="C671" s="2134"/>
      <c r="D671" s="2134"/>
      <c r="E671" s="2134"/>
      <c r="F671" s="2134"/>
      <c r="G671" s="2134"/>
      <c r="H671" s="2135"/>
    </row>
    <row r="672" spans="2:8" ht="38.4" customHeight="1">
      <c r="B672" s="2133" t="s">
        <v>1093</v>
      </c>
      <c r="C672" s="2134"/>
      <c r="D672" s="2134"/>
      <c r="E672" s="2134"/>
      <c r="F672" s="2134"/>
      <c r="G672" s="2134"/>
      <c r="H672" s="2135"/>
    </row>
    <row r="673" spans="2:8" ht="36.6" customHeight="1">
      <c r="B673" s="2133" t="s">
        <v>1094</v>
      </c>
      <c r="C673" s="2134"/>
      <c r="D673" s="2134"/>
      <c r="E673" s="2134"/>
      <c r="F673" s="2134"/>
      <c r="G673" s="2134"/>
      <c r="H673" s="2135"/>
    </row>
    <row r="674" spans="2:8" ht="37.200000000000003" customHeight="1">
      <c r="B674" s="2136" t="s">
        <v>3141</v>
      </c>
      <c r="C674" s="2137"/>
      <c r="D674" s="2137"/>
      <c r="E674" s="2137"/>
      <c r="F674" s="2137"/>
      <c r="G674" s="2137"/>
      <c r="H674" s="2138"/>
    </row>
    <row r="675" spans="2:8" ht="18">
      <c r="B675" s="1563"/>
      <c r="C675" s="1077"/>
      <c r="D675" s="1077"/>
      <c r="E675" s="1077"/>
      <c r="F675" s="1077"/>
      <c r="G675" s="1077"/>
      <c r="H675" s="1564"/>
    </row>
    <row r="676" spans="2:8" ht="18">
      <c r="B676" s="1396" t="s">
        <v>0</v>
      </c>
      <c r="C676" s="1411"/>
      <c r="D676" s="1411"/>
      <c r="E676" s="1411"/>
      <c r="F676" s="1594"/>
      <c r="G676" s="1237" t="s">
        <v>840</v>
      </c>
      <c r="H676" s="1238" t="s">
        <v>840</v>
      </c>
    </row>
    <row r="677" spans="2:8" ht="18">
      <c r="B677" s="1595"/>
      <c r="C677" s="55"/>
      <c r="D677" s="55"/>
      <c r="E677" s="55"/>
      <c r="F677" s="40"/>
      <c r="G677" s="16" t="str">
        <f>+G662</f>
        <v>March 31, 2023 (₹)</v>
      </c>
      <c r="H677" s="1240" t="str">
        <f>+H662</f>
        <v>March 31, 2022 (₹)</v>
      </c>
    </row>
    <row r="678" spans="2:8" ht="18">
      <c r="B678" s="1348" t="s">
        <v>2821</v>
      </c>
      <c r="C678" s="34"/>
      <c r="D678" s="34"/>
      <c r="E678" s="34"/>
      <c r="F678" s="1999"/>
      <c r="G678" s="20"/>
      <c r="H678" s="1246"/>
    </row>
    <row r="679" spans="2:8" ht="18">
      <c r="B679" s="1283" t="s">
        <v>1095</v>
      </c>
      <c r="C679" s="34"/>
      <c r="D679" s="34"/>
      <c r="E679" s="34"/>
      <c r="F679" s="115"/>
      <c r="G679" s="20"/>
      <c r="H679" s="1246"/>
    </row>
    <row r="680" spans="2:8" ht="18">
      <c r="B680" s="1283" t="s">
        <v>1096</v>
      </c>
      <c r="C680" s="34"/>
      <c r="D680" s="34"/>
      <c r="E680" s="34"/>
      <c r="F680" s="115"/>
      <c r="G680" s="1591">
        <f>+G701</f>
        <v>5527056</v>
      </c>
      <c r="H680" s="1831">
        <f>+H701</f>
        <v>5262294</v>
      </c>
    </row>
    <row r="681" spans="2:8" ht="56.4" customHeight="1">
      <c r="B681" s="2108" t="s">
        <v>1097</v>
      </c>
      <c r="C681" s="2109"/>
      <c r="D681" s="2109"/>
      <c r="E681" s="2109"/>
      <c r="F681" s="2109"/>
      <c r="G681" s="1388"/>
      <c r="H681" s="1389"/>
    </row>
    <row r="682" spans="2:8" ht="18">
      <c r="B682" s="1245"/>
      <c r="C682" s="2005"/>
      <c r="D682" s="2005"/>
      <c r="E682" s="2005"/>
      <c r="F682" s="2005"/>
      <c r="G682" s="116"/>
      <c r="H682" s="1390"/>
    </row>
    <row r="683" spans="2:8" ht="18">
      <c r="B683" s="1391" t="s">
        <v>1098</v>
      </c>
      <c r="C683" s="117"/>
      <c r="D683" s="117"/>
      <c r="E683" s="117"/>
      <c r="F683" s="117"/>
      <c r="G683" s="118"/>
      <c r="H683" s="1392"/>
    </row>
    <row r="684" spans="2:8" ht="18">
      <c r="B684" s="1287" t="s">
        <v>0</v>
      </c>
      <c r="C684" s="1236"/>
      <c r="D684" s="1236"/>
      <c r="E684" s="1393"/>
      <c r="F684" s="1394"/>
      <c r="G684" s="1237" t="s">
        <v>840</v>
      </c>
      <c r="H684" s="1238" t="s">
        <v>840</v>
      </c>
    </row>
    <row r="685" spans="2:8" ht="18">
      <c r="B685" s="1395"/>
      <c r="C685" s="15"/>
      <c r="D685" s="15"/>
      <c r="E685" s="56"/>
      <c r="F685" s="119"/>
      <c r="G685" s="16" t="str">
        <f>+G5</f>
        <v>March 31, 2023 (₹)</v>
      </c>
      <c r="H685" s="1240" t="str">
        <f>+H5</f>
        <v>March 31, 2022 (₹)</v>
      </c>
    </row>
    <row r="686" spans="2:8" ht="18">
      <c r="B686" s="1396" t="s">
        <v>2920</v>
      </c>
      <c r="C686" s="1397"/>
      <c r="D686" s="1397"/>
      <c r="E686" s="1397"/>
      <c r="F686" s="120"/>
      <c r="G686" s="1398"/>
      <c r="H686" s="1399"/>
    </row>
    <row r="687" spans="2:8" ht="18">
      <c r="B687" s="1229" t="s">
        <v>1099</v>
      </c>
      <c r="C687" s="1999"/>
      <c r="D687" s="1999"/>
      <c r="E687" s="1958"/>
      <c r="F687" s="98"/>
      <c r="G687" s="21">
        <f>+H694</f>
        <v>7346716</v>
      </c>
      <c r="H687" s="1248">
        <v>7437757</v>
      </c>
    </row>
    <row r="688" spans="2:8" ht="18">
      <c r="B688" s="1229" t="s">
        <v>1100</v>
      </c>
      <c r="C688" s="1999"/>
      <c r="D688" s="1999"/>
      <c r="E688" s="1958"/>
      <c r="F688" s="98"/>
      <c r="G688" s="21">
        <v>719981</v>
      </c>
      <c r="H688" s="1248">
        <v>729554</v>
      </c>
    </row>
    <row r="689" spans="2:8" ht="18">
      <c r="B689" s="1229" t="s">
        <v>1101</v>
      </c>
      <c r="C689" s="1999"/>
      <c r="D689" s="1999"/>
      <c r="E689" s="1958"/>
      <c r="F689" s="121"/>
      <c r="G689" s="21">
        <v>0</v>
      </c>
      <c r="H689" s="1248">
        <v>0</v>
      </c>
    </row>
    <row r="690" spans="2:8" ht="18">
      <c r="B690" s="1229" t="s">
        <v>1102</v>
      </c>
      <c r="C690" s="1999"/>
      <c r="D690" s="1999"/>
      <c r="E690" s="1958"/>
      <c r="F690" s="121"/>
      <c r="G690" s="21">
        <v>534106</v>
      </c>
      <c r="H690" s="1248">
        <v>510974</v>
      </c>
    </row>
    <row r="691" spans="2:8" ht="18">
      <c r="B691" s="1229" t="s">
        <v>1103</v>
      </c>
      <c r="C691" s="1999"/>
      <c r="D691" s="1999"/>
      <c r="E691" s="1958"/>
      <c r="F691" s="121"/>
      <c r="G691" s="21">
        <v>-115003</v>
      </c>
      <c r="H691" s="1248">
        <f>-235636-11692</f>
        <v>-247328</v>
      </c>
    </row>
    <row r="692" spans="2:8" ht="18">
      <c r="B692" s="1229" t="s">
        <v>1104</v>
      </c>
      <c r="C692" s="1999"/>
      <c r="D692" s="1999"/>
      <c r="E692" s="1958"/>
      <c r="F692" s="121"/>
      <c r="G692" s="21">
        <v>-448327</v>
      </c>
      <c r="H692" s="1248">
        <v>-218354</v>
      </c>
    </row>
    <row r="693" spans="2:8" ht="18">
      <c r="B693" s="1229" t="s">
        <v>1105</v>
      </c>
      <c r="C693" s="1999"/>
      <c r="D693" s="1999"/>
      <c r="E693" s="1958"/>
      <c r="F693" s="121"/>
      <c r="G693" s="21">
        <v>-390893</v>
      </c>
      <c r="H693" s="1248">
        <v>-865887</v>
      </c>
    </row>
    <row r="694" spans="2:8" ht="18">
      <c r="B694" s="1225" t="s">
        <v>1106</v>
      </c>
      <c r="C694" s="1999"/>
      <c r="D694" s="1999"/>
      <c r="E694" s="1958"/>
      <c r="F694" s="92"/>
      <c r="G694" s="1548">
        <f>+SUM(G687:G693)</f>
        <v>7646580</v>
      </c>
      <c r="H694" s="1791">
        <f>+SUM(H687:H693)</f>
        <v>7346716</v>
      </c>
    </row>
    <row r="695" spans="2:8" ht="18">
      <c r="B695" s="1229" t="s">
        <v>1107</v>
      </c>
      <c r="C695" s="1999"/>
      <c r="D695" s="1999"/>
      <c r="E695" s="1958"/>
      <c r="F695" s="121"/>
      <c r="G695" s="21"/>
      <c r="H695" s="1248"/>
    </row>
    <row r="696" spans="2:8" ht="18">
      <c r="B696" s="1229" t="s">
        <v>1108</v>
      </c>
      <c r="C696" s="1999"/>
      <c r="D696" s="1999"/>
      <c r="E696" s="1958"/>
      <c r="F696" s="98"/>
      <c r="G696" s="21">
        <f>+H701</f>
        <v>5262294</v>
      </c>
      <c r="H696" s="1248">
        <v>4778694</v>
      </c>
    </row>
    <row r="697" spans="2:8" ht="18">
      <c r="B697" s="1229" t="s">
        <v>1109</v>
      </c>
      <c r="C697" s="1999"/>
      <c r="D697" s="1999"/>
      <c r="E697" s="1958"/>
      <c r="F697" s="121"/>
      <c r="G697" s="21">
        <v>382569</v>
      </c>
      <c r="H697" s="1248">
        <v>328296</v>
      </c>
    </row>
    <row r="698" spans="2:8" ht="18">
      <c r="B698" s="1229" t="s">
        <v>1110</v>
      </c>
      <c r="C698" s="1999"/>
      <c r="D698" s="1999"/>
      <c r="E698" s="1958"/>
      <c r="F698" s="121"/>
      <c r="G698" s="21">
        <v>-52475</v>
      </c>
      <c r="H698" s="1248">
        <v>-9140</v>
      </c>
    </row>
    <row r="699" spans="2:8" ht="18">
      <c r="B699" s="1229" t="s">
        <v>1111</v>
      </c>
      <c r="C699" s="1999"/>
      <c r="D699" s="1999"/>
      <c r="E699" s="1958"/>
      <c r="F699" s="121"/>
      <c r="G699" s="21">
        <v>382995</v>
      </c>
      <c r="H699" s="1248">
        <v>382798</v>
      </c>
    </row>
    <row r="700" spans="2:8" ht="18">
      <c r="B700" s="1229" t="s">
        <v>1104</v>
      </c>
      <c r="C700" s="1999"/>
      <c r="D700" s="1999"/>
      <c r="E700" s="1958"/>
      <c r="F700" s="121"/>
      <c r="G700" s="21">
        <v>-448327</v>
      </c>
      <c r="H700" s="1248">
        <v>-218354</v>
      </c>
    </row>
    <row r="701" spans="2:8" ht="18">
      <c r="B701" s="1225" t="s">
        <v>1112</v>
      </c>
      <c r="C701" s="1999"/>
      <c r="D701" s="1999"/>
      <c r="E701" s="1958"/>
      <c r="F701" s="92"/>
      <c r="G701" s="1548">
        <f>+SUM(G696:G700)</f>
        <v>5527056</v>
      </c>
      <c r="H701" s="1791">
        <f>+SUM(H696:H700)</f>
        <v>5262294</v>
      </c>
    </row>
    <row r="702" spans="2:8" ht="18">
      <c r="B702" s="1225" t="s">
        <v>1098</v>
      </c>
      <c r="C702" s="2050"/>
      <c r="D702" s="2050"/>
      <c r="E702" s="2050"/>
      <c r="F702" s="120"/>
      <c r="G702" s="21"/>
      <c r="H702" s="1248"/>
    </row>
    <row r="703" spans="2:8" ht="18">
      <c r="B703" s="1229" t="s">
        <v>1113</v>
      </c>
      <c r="C703" s="1999"/>
      <c r="D703" s="1999"/>
      <c r="E703" s="1958"/>
      <c r="F703" s="121"/>
      <c r="G703" s="21">
        <f>-G701</f>
        <v>-5527056</v>
      </c>
      <c r="H703" s="1248">
        <f>-H701</f>
        <v>-5262294</v>
      </c>
    </row>
    <row r="704" spans="2:8" ht="18">
      <c r="B704" s="1400" t="s">
        <v>1114</v>
      </c>
      <c r="C704" s="1999"/>
      <c r="D704" s="1999"/>
      <c r="E704" s="1958"/>
      <c r="F704" s="121"/>
      <c r="G704" s="122">
        <f>+G694</f>
        <v>7646580</v>
      </c>
      <c r="H704" s="1401">
        <f>+H694</f>
        <v>7346716</v>
      </c>
    </row>
    <row r="705" spans="2:8" ht="18">
      <c r="B705" s="1402" t="s">
        <v>1115</v>
      </c>
      <c r="C705" s="1999"/>
      <c r="D705" s="1999"/>
      <c r="E705" s="1958"/>
      <c r="F705" s="123"/>
      <c r="G705" s="1832">
        <f>+SUM(G703:G704)</f>
        <v>2119524</v>
      </c>
      <c r="H705" s="1833">
        <f>+SUM(H703:H704)</f>
        <v>2084422</v>
      </c>
    </row>
    <row r="706" spans="2:8" ht="18">
      <c r="B706" s="1229" t="s">
        <v>1116</v>
      </c>
      <c r="C706" s="1999"/>
      <c r="D706" s="1999"/>
      <c r="E706" s="1958"/>
      <c r="F706" s="121"/>
      <c r="G706" s="21"/>
      <c r="H706" s="1248"/>
    </row>
    <row r="707" spans="2:8" ht="18">
      <c r="B707" s="1229" t="s">
        <v>1100</v>
      </c>
      <c r="C707" s="1999"/>
      <c r="D707" s="1999"/>
      <c r="E707" s="1958"/>
      <c r="F707" s="121"/>
      <c r="G707" s="21">
        <f t="shared" ref="G707:H709" si="18">+G688</f>
        <v>719981</v>
      </c>
      <c r="H707" s="1248">
        <f t="shared" si="18"/>
        <v>729554</v>
      </c>
    </row>
    <row r="708" spans="2:8" ht="18">
      <c r="B708" s="1229" t="s">
        <v>1101</v>
      </c>
      <c r="C708" s="1999"/>
      <c r="D708" s="1999"/>
      <c r="E708" s="1958"/>
      <c r="F708" s="121"/>
      <c r="G708" s="21">
        <f t="shared" si="18"/>
        <v>0</v>
      </c>
      <c r="H708" s="1248">
        <f t="shared" si="18"/>
        <v>0</v>
      </c>
    </row>
    <row r="709" spans="2:8" ht="18">
      <c r="B709" s="1229" t="s">
        <v>1102</v>
      </c>
      <c r="C709" s="1999"/>
      <c r="D709" s="1999"/>
      <c r="E709" s="1958"/>
      <c r="F709" s="121"/>
      <c r="G709" s="21">
        <f t="shared" si="18"/>
        <v>534106</v>
      </c>
      <c r="H709" s="1248">
        <f t="shared" si="18"/>
        <v>510974</v>
      </c>
    </row>
    <row r="710" spans="2:8" ht="18">
      <c r="B710" s="1229" t="s">
        <v>1109</v>
      </c>
      <c r="C710" s="1999"/>
      <c r="D710" s="1999"/>
      <c r="E710" s="1958"/>
      <c r="F710" s="121"/>
      <c r="G710" s="21">
        <f>-G697</f>
        <v>-382569</v>
      </c>
      <c r="H710" s="1248">
        <f>-H697</f>
        <v>-328296</v>
      </c>
    </row>
    <row r="711" spans="2:8" ht="18">
      <c r="B711" s="1229" t="s">
        <v>1103</v>
      </c>
      <c r="C711" s="1999"/>
      <c r="D711" s="1999"/>
      <c r="E711" s="1958"/>
      <c r="F711" s="121"/>
      <c r="G711" s="21">
        <f>+G693+G691-G698</f>
        <v>-453421</v>
      </c>
      <c r="H711" s="1248">
        <f>+H693+H691-H698</f>
        <v>-1104075</v>
      </c>
    </row>
    <row r="712" spans="2:8" ht="18">
      <c r="B712" s="1225" t="s">
        <v>1117</v>
      </c>
      <c r="C712" s="1999"/>
      <c r="D712" s="1999"/>
      <c r="E712" s="1958"/>
      <c r="F712" s="92"/>
      <c r="G712" s="1548">
        <f>+SUM(G707:G711)</f>
        <v>418097</v>
      </c>
      <c r="H712" s="1791">
        <f>+SUM(H707:H711)</f>
        <v>-191843</v>
      </c>
    </row>
    <row r="713" spans="2:8" ht="18">
      <c r="B713" s="1229" t="s">
        <v>1118</v>
      </c>
      <c r="C713" s="1999"/>
      <c r="D713" s="1999"/>
      <c r="E713" s="1958"/>
      <c r="F713" s="121"/>
      <c r="G713" s="21"/>
      <c r="H713" s="1248"/>
    </row>
    <row r="714" spans="2:8" ht="18">
      <c r="B714" s="1229" t="s">
        <v>1119</v>
      </c>
      <c r="C714" s="1999"/>
      <c r="D714" s="1999"/>
      <c r="E714" s="1958"/>
      <c r="F714" s="121"/>
      <c r="G714" s="124">
        <v>7.4800000000000005E-2</v>
      </c>
      <c r="H714" s="1403">
        <v>7.2700000000000001E-2</v>
      </c>
    </row>
    <row r="715" spans="2:8" ht="18">
      <c r="B715" s="1229" t="s">
        <v>1120</v>
      </c>
      <c r="C715" s="1999"/>
      <c r="D715" s="1999"/>
      <c r="E715" s="1958"/>
      <c r="F715" s="121"/>
      <c r="G715" s="124">
        <v>7.4800000000000005E-2</v>
      </c>
      <c r="H715" s="1403">
        <v>7.2700000000000001E-2</v>
      </c>
    </row>
    <row r="716" spans="2:8" ht="18">
      <c r="B716" s="1286" t="s">
        <v>1121</v>
      </c>
      <c r="C716" s="15"/>
      <c r="D716" s="15"/>
      <c r="E716" s="56"/>
      <c r="F716" s="119"/>
      <c r="G716" s="125">
        <v>0.06</v>
      </c>
      <c r="H716" s="1404">
        <v>0.06</v>
      </c>
    </row>
    <row r="717" spans="2:8" ht="18">
      <c r="B717" s="1286" t="s">
        <v>1122</v>
      </c>
      <c r="C717" s="15"/>
      <c r="D717" s="15"/>
      <c r="E717" s="56"/>
      <c r="F717" s="126"/>
      <c r="G717" s="125">
        <f>+SUM(G714:G716)</f>
        <v>0.20960000000000001</v>
      </c>
      <c r="H717" s="1404">
        <f>+SUM(H714:H716)</f>
        <v>0.2054</v>
      </c>
    </row>
    <row r="718" spans="2:8" ht="18">
      <c r="B718" s="1395" t="s">
        <v>1123</v>
      </c>
      <c r="C718" s="15"/>
      <c r="D718" s="15"/>
      <c r="E718" s="56"/>
      <c r="F718" s="127"/>
      <c r="G718" s="128">
        <f>G697+G698</f>
        <v>330094</v>
      </c>
      <c r="H718" s="1405">
        <f>H697+H698</f>
        <v>319156</v>
      </c>
    </row>
    <row r="719" spans="2:8" ht="18">
      <c r="B719" s="1406"/>
      <c r="C719" s="1407"/>
      <c r="D719" s="1407"/>
      <c r="E719" s="1407"/>
      <c r="F719" s="1407"/>
      <c r="G719" s="1386"/>
      <c r="H719" s="1387"/>
    </row>
    <row r="720" spans="2:8" ht="18">
      <c r="B720" s="1283" t="s">
        <v>1124</v>
      </c>
      <c r="C720" s="34"/>
      <c r="D720" s="34"/>
      <c r="E720" s="1959"/>
      <c r="F720" s="1959"/>
      <c r="G720" s="31"/>
      <c r="H720" s="1265"/>
    </row>
    <row r="721" spans="2:8" ht="18">
      <c r="B721" s="1294" t="s">
        <v>1125</v>
      </c>
      <c r="C721" s="2004"/>
      <c r="D721" s="2004"/>
      <c r="E721" s="2004"/>
      <c r="F721" s="2004"/>
      <c r="G721" s="132"/>
      <c r="H721" s="1408"/>
    </row>
    <row r="722" spans="2:8" ht="18">
      <c r="B722" s="1290" t="s">
        <v>2822</v>
      </c>
      <c r="C722" s="2051"/>
      <c r="D722" s="2051"/>
      <c r="E722" s="2051"/>
      <c r="F722" s="2051"/>
      <c r="G722" s="129"/>
      <c r="H722" s="1409"/>
    </row>
    <row r="723" spans="2:8">
      <c r="B723" s="2110" t="s">
        <v>2921</v>
      </c>
      <c r="C723" s="2111"/>
      <c r="D723" s="2111"/>
      <c r="E723" s="2111"/>
      <c r="F723" s="2111"/>
      <c r="G723" s="2111"/>
      <c r="H723" s="2112"/>
    </row>
    <row r="724" spans="2:8">
      <c r="B724" s="2110"/>
      <c r="C724" s="2111"/>
      <c r="D724" s="2111"/>
      <c r="E724" s="2111"/>
      <c r="F724" s="2111"/>
      <c r="G724" s="2111"/>
      <c r="H724" s="2112"/>
    </row>
    <row r="725" spans="2:8">
      <c r="B725" s="2110"/>
      <c r="C725" s="2111"/>
      <c r="D725" s="2111"/>
      <c r="E725" s="2111"/>
      <c r="F725" s="2111"/>
      <c r="G725" s="2111"/>
      <c r="H725" s="2112"/>
    </row>
    <row r="726" spans="2:8">
      <c r="B726" s="2110"/>
      <c r="C726" s="2111"/>
      <c r="D726" s="2111"/>
      <c r="E726" s="2111"/>
      <c r="F726" s="2111"/>
      <c r="G726" s="2111"/>
      <c r="H726" s="2112"/>
    </row>
    <row r="727" spans="2:8" ht="19.2" customHeight="1">
      <c r="B727" s="2110"/>
      <c r="C727" s="2111"/>
      <c r="D727" s="2111"/>
      <c r="E727" s="2111"/>
      <c r="F727" s="2111"/>
      <c r="G727" s="2111"/>
      <c r="H727" s="2112"/>
    </row>
    <row r="728" spans="2:8" ht="18">
      <c r="B728" s="1310" t="s">
        <v>1126</v>
      </c>
      <c r="C728" s="34"/>
      <c r="D728" s="34"/>
      <c r="E728" s="2014"/>
      <c r="F728" s="2014"/>
      <c r="G728" s="115"/>
      <c r="H728" s="1253"/>
    </row>
    <row r="729" spans="2:8">
      <c r="B729" s="2113" t="s">
        <v>3142</v>
      </c>
      <c r="C729" s="2114"/>
      <c r="D729" s="2114"/>
      <c r="E729" s="2114"/>
      <c r="F729" s="2114"/>
      <c r="G729" s="2114"/>
      <c r="H729" s="2115"/>
    </row>
    <row r="730" spans="2:8">
      <c r="B730" s="2113"/>
      <c r="C730" s="2114"/>
      <c r="D730" s="2114"/>
      <c r="E730" s="2114"/>
      <c r="F730" s="2114"/>
      <c r="G730" s="2114"/>
      <c r="H730" s="2115"/>
    </row>
    <row r="731" spans="2:8">
      <c r="B731" s="2113"/>
      <c r="C731" s="2114"/>
      <c r="D731" s="2114"/>
      <c r="E731" s="2114"/>
      <c r="F731" s="2114"/>
      <c r="G731" s="2114"/>
      <c r="H731" s="2115"/>
    </row>
    <row r="732" spans="2:8" ht="15" thickBot="1">
      <c r="B732" s="2116"/>
      <c r="C732" s="2117"/>
      <c r="D732" s="2117"/>
      <c r="E732" s="2117"/>
      <c r="F732" s="2117"/>
      <c r="G732" s="2117"/>
      <c r="H732" s="2118"/>
    </row>
    <row r="733" spans="2:8" ht="18">
      <c r="B733" s="2119" t="s">
        <v>785</v>
      </c>
      <c r="C733" s="2120"/>
      <c r="D733" s="2120"/>
      <c r="E733" s="2120"/>
      <c r="F733" s="2120"/>
      <c r="G733" s="2120"/>
      <c r="H733" s="2121"/>
    </row>
    <row r="734" spans="2:8" ht="18">
      <c r="B734" s="2099" t="s">
        <v>2241</v>
      </c>
      <c r="C734" s="2100"/>
      <c r="D734" s="2100"/>
      <c r="E734" s="2100"/>
      <c r="F734" s="2100"/>
      <c r="G734" s="2100"/>
      <c r="H734" s="2101"/>
    </row>
    <row r="735" spans="2:8" ht="18">
      <c r="B735" s="1310" t="s">
        <v>2823</v>
      </c>
      <c r="C735" s="68"/>
      <c r="D735" s="68"/>
      <c r="E735" s="1958"/>
      <c r="F735" s="1958"/>
      <c r="G735" s="36"/>
      <c r="H735" s="1267"/>
    </row>
    <row r="736" spans="2:8" ht="18">
      <c r="B736" s="1283"/>
      <c r="C736" s="35"/>
      <c r="D736" s="35"/>
      <c r="E736" s="1958"/>
      <c r="F736" s="1958"/>
      <c r="G736" s="36"/>
      <c r="H736" s="1267"/>
    </row>
    <row r="737" spans="2:8" ht="18">
      <c r="B737" s="1290" t="s">
        <v>1127</v>
      </c>
      <c r="C737" s="2004"/>
      <c r="D737" s="2004"/>
      <c r="E737" s="1958"/>
      <c r="F737" s="1958"/>
      <c r="G737" s="36"/>
      <c r="H737" s="1267"/>
    </row>
    <row r="738" spans="2:8" ht="18">
      <c r="B738" s="1294" t="s">
        <v>1128</v>
      </c>
      <c r="C738" s="2004"/>
      <c r="D738" s="2004"/>
      <c r="E738" s="1958"/>
      <c r="F738" s="1958"/>
      <c r="G738" s="36"/>
      <c r="H738" s="1267"/>
    </row>
    <row r="739" spans="2:8" ht="18">
      <c r="B739" s="1294" t="s">
        <v>2922</v>
      </c>
      <c r="C739" s="2004"/>
      <c r="D739" s="2004"/>
      <c r="E739" s="1958"/>
      <c r="F739" s="1958"/>
      <c r="G739" s="36"/>
      <c r="H739" s="1267"/>
    </row>
    <row r="740" spans="2:8" ht="18">
      <c r="B740" s="1294" t="s">
        <v>1130</v>
      </c>
      <c r="C740" s="2004"/>
      <c r="D740" s="2004"/>
      <c r="E740" s="1958"/>
      <c r="F740" s="1958"/>
      <c r="G740" s="36"/>
      <c r="H740" s="1267"/>
    </row>
    <row r="741" spans="2:8" ht="18">
      <c r="B741" s="1294" t="s">
        <v>1131</v>
      </c>
      <c r="C741" s="2004"/>
      <c r="D741" s="2004"/>
      <c r="E741" s="1958"/>
      <c r="F741" s="1958"/>
      <c r="G741" s="36"/>
      <c r="H741" s="1267"/>
    </row>
    <row r="742" spans="2:8" ht="18">
      <c r="B742" s="1290" t="s">
        <v>1132</v>
      </c>
      <c r="C742" s="2004"/>
      <c r="D742" s="2004"/>
      <c r="E742" s="1958"/>
      <c r="F742" s="1958"/>
      <c r="G742" s="36"/>
      <c r="H742" s="1267"/>
    </row>
    <row r="743" spans="2:8" ht="18">
      <c r="B743" s="1294" t="s">
        <v>1133</v>
      </c>
      <c r="C743" s="2004"/>
      <c r="D743" s="2004"/>
      <c r="E743" s="1958"/>
      <c r="F743" s="1958"/>
      <c r="G743" s="36"/>
      <c r="H743" s="1267"/>
    </row>
    <row r="744" spans="2:8" ht="18">
      <c r="B744" s="1294" t="s">
        <v>1134</v>
      </c>
      <c r="C744" s="2004"/>
      <c r="D744" s="2004"/>
      <c r="E744" s="1958"/>
      <c r="F744" s="1958"/>
      <c r="G744" s="36"/>
      <c r="H744" s="1267"/>
    </row>
    <row r="745" spans="2:8" ht="18">
      <c r="B745" s="1294" t="s">
        <v>1135</v>
      </c>
      <c r="C745" s="2004"/>
      <c r="D745" s="2004"/>
      <c r="E745" s="1958"/>
      <c r="F745" s="1958"/>
      <c r="G745" s="36"/>
      <c r="H745" s="1267"/>
    </row>
    <row r="746" spans="2:8" ht="18">
      <c r="B746" s="1294" t="s">
        <v>1136</v>
      </c>
      <c r="C746" s="2004"/>
      <c r="D746" s="2004"/>
      <c r="E746" s="1958"/>
      <c r="F746" s="1958"/>
      <c r="G746" s="36"/>
      <c r="H746" s="1267"/>
    </row>
    <row r="747" spans="2:8" ht="18">
      <c r="B747" s="1294" t="s">
        <v>2854</v>
      </c>
      <c r="C747" s="2004"/>
      <c r="D747" s="2004"/>
      <c r="E747" s="1958"/>
      <c r="F747" s="1958"/>
      <c r="G747" s="36"/>
      <c r="H747" s="1267"/>
    </row>
    <row r="748" spans="2:8" ht="18">
      <c r="B748" s="1294" t="s">
        <v>2855</v>
      </c>
      <c r="C748" s="2004"/>
      <c r="D748" s="2004"/>
      <c r="E748" s="1958"/>
      <c r="F748" s="1958"/>
      <c r="G748" s="36"/>
      <c r="H748" s="1267"/>
    </row>
    <row r="749" spans="2:8" ht="18">
      <c r="B749" s="1294"/>
      <c r="C749" s="2004"/>
      <c r="D749" s="2004"/>
      <c r="E749" s="1958"/>
      <c r="F749" s="1958"/>
      <c r="G749" s="36"/>
      <c r="H749" s="1267"/>
    </row>
    <row r="750" spans="2:8" ht="18">
      <c r="B750" s="1283" t="s">
        <v>1137</v>
      </c>
      <c r="C750" s="34"/>
      <c r="D750" s="34"/>
      <c r="E750" s="1958"/>
      <c r="F750" s="1958"/>
      <c r="G750" s="36"/>
      <c r="H750" s="1267"/>
    </row>
    <row r="751" spans="2:8" ht="18">
      <c r="B751" s="1290" t="s">
        <v>1138</v>
      </c>
      <c r="C751" s="2004"/>
      <c r="D751" s="2004"/>
      <c r="E751" s="1958"/>
      <c r="F751" s="1958"/>
      <c r="G751" s="36"/>
      <c r="H751" s="1267"/>
    </row>
    <row r="752" spans="2:8" ht="18">
      <c r="B752" s="1294" t="s">
        <v>1139</v>
      </c>
      <c r="C752" s="2004"/>
      <c r="D752" s="2004"/>
      <c r="E752" s="2004" t="s">
        <v>1140</v>
      </c>
      <c r="F752" s="1958"/>
      <c r="G752" s="36"/>
      <c r="H752" s="1267"/>
    </row>
    <row r="753" spans="2:8" ht="18">
      <c r="B753" s="1294" t="s">
        <v>1141</v>
      </c>
      <c r="C753" s="2004"/>
      <c r="D753" s="2004"/>
      <c r="E753" s="2004" t="s">
        <v>1142</v>
      </c>
      <c r="F753" s="1958"/>
      <c r="G753" s="36"/>
      <c r="H753" s="1267"/>
    </row>
    <row r="754" spans="2:8" ht="18">
      <c r="B754" s="1294" t="s">
        <v>1143</v>
      </c>
      <c r="C754" s="2004"/>
      <c r="D754" s="2004"/>
      <c r="E754" s="2004" t="s">
        <v>1144</v>
      </c>
      <c r="F754" s="1958"/>
      <c r="G754" s="36"/>
      <c r="H754" s="1267"/>
    </row>
    <row r="755" spans="2:8" ht="18">
      <c r="B755" s="1294" t="s">
        <v>1145</v>
      </c>
      <c r="C755" s="2004"/>
      <c r="D755" s="2004"/>
      <c r="E755" s="2004" t="s">
        <v>1146</v>
      </c>
      <c r="F755" s="1958"/>
      <c r="G755" s="36"/>
      <c r="H755" s="1267"/>
    </row>
    <row r="756" spans="2:8" ht="18">
      <c r="B756" s="1294" t="s">
        <v>1147</v>
      </c>
      <c r="C756" s="2004"/>
      <c r="D756" s="2004"/>
      <c r="E756" s="2004" t="s">
        <v>1148</v>
      </c>
      <c r="F756" s="1958"/>
      <c r="G756" s="36"/>
      <c r="H756" s="1267"/>
    </row>
    <row r="757" spans="2:8" ht="18">
      <c r="B757" s="1294" t="s">
        <v>1149</v>
      </c>
      <c r="C757" s="2004"/>
      <c r="D757" s="2004"/>
      <c r="E757" s="2004" t="s">
        <v>1150</v>
      </c>
      <c r="F757" s="1958"/>
      <c r="G757" s="36"/>
      <c r="H757" s="1267"/>
    </row>
    <row r="758" spans="2:8" ht="18">
      <c r="B758" s="1294" t="s">
        <v>1151</v>
      </c>
      <c r="C758" s="34"/>
      <c r="D758" s="34"/>
      <c r="E758" s="34" t="s">
        <v>1152</v>
      </c>
      <c r="F758" s="1958"/>
      <c r="G758" s="36"/>
      <c r="H758" s="1267"/>
    </row>
    <row r="759" spans="2:8" ht="18">
      <c r="B759" s="1297" t="s">
        <v>1153</v>
      </c>
      <c r="C759" s="34"/>
      <c r="D759" s="34"/>
      <c r="E759" s="34" t="s">
        <v>1154</v>
      </c>
      <c r="F759" s="1958"/>
      <c r="G759" s="36"/>
      <c r="H759" s="1267"/>
    </row>
    <row r="760" spans="2:8" ht="18">
      <c r="B760" s="1297" t="s">
        <v>1155</v>
      </c>
      <c r="C760" s="34"/>
      <c r="D760" s="34"/>
      <c r="E760" s="34" t="s">
        <v>1146</v>
      </c>
      <c r="F760" s="1958"/>
      <c r="G760" s="36"/>
      <c r="H760" s="1267"/>
    </row>
    <row r="761" spans="2:8" ht="18">
      <c r="B761" s="1297" t="s">
        <v>1156</v>
      </c>
      <c r="C761" s="34"/>
      <c r="D761" s="34"/>
      <c r="E761" s="34" t="s">
        <v>1157</v>
      </c>
      <c r="F761" s="1958"/>
      <c r="G761" s="36"/>
      <c r="H761" s="1267"/>
    </row>
    <row r="762" spans="2:8" ht="18">
      <c r="B762" s="1269"/>
      <c r="C762" s="55"/>
      <c r="D762" s="55"/>
      <c r="E762" s="55" t="s">
        <v>1158</v>
      </c>
      <c r="F762" s="56"/>
      <c r="G762" s="91"/>
      <c r="H762" s="1350"/>
    </row>
    <row r="763" spans="2:8" ht="18">
      <c r="B763" s="1287" t="s">
        <v>0</v>
      </c>
      <c r="C763" s="1288"/>
      <c r="D763" s="1288"/>
      <c r="E763" s="1289"/>
      <c r="F763" s="1410"/>
      <c r="G763" s="1237" t="s">
        <v>840</v>
      </c>
      <c r="H763" s="1238" t="s">
        <v>840</v>
      </c>
    </row>
    <row r="764" spans="2:8" ht="18">
      <c r="B764" s="1269"/>
      <c r="C764" s="55"/>
      <c r="D764" s="55"/>
      <c r="E764" s="38"/>
      <c r="F764" s="130"/>
      <c r="G764" s="16" t="s">
        <v>789</v>
      </c>
      <c r="H764" s="1240" t="s">
        <v>790</v>
      </c>
    </row>
    <row r="765" spans="2:8" ht="18">
      <c r="B765" s="1300" t="s">
        <v>1159</v>
      </c>
      <c r="C765" s="1411"/>
      <c r="D765" s="1411"/>
      <c r="E765" s="1340"/>
      <c r="F765" s="1412"/>
      <c r="G765" s="1413"/>
      <c r="H765" s="1342"/>
    </row>
    <row r="766" spans="2:8" ht="18">
      <c r="B766" s="1348" t="s">
        <v>1160</v>
      </c>
      <c r="C766" s="34"/>
      <c r="D766" s="34"/>
      <c r="E766" s="1959"/>
      <c r="F766" s="131"/>
      <c r="G766" s="32"/>
      <c r="H766" s="1265"/>
    </row>
    <row r="767" spans="2:8" ht="18">
      <c r="B767" s="1348" t="s">
        <v>1161</v>
      </c>
      <c r="C767" s="34"/>
      <c r="D767" s="34"/>
      <c r="E767" s="1959"/>
      <c r="F767" s="131"/>
      <c r="G767" s="32"/>
      <c r="H767" s="1265"/>
    </row>
    <row r="768" spans="2:8" ht="18">
      <c r="B768" s="1283" t="s">
        <v>1163</v>
      </c>
      <c r="C768" s="34"/>
      <c r="D768" s="34"/>
      <c r="E768" s="1959"/>
      <c r="F768" s="131"/>
      <c r="G768" s="32"/>
      <c r="H768" s="1265"/>
    </row>
    <row r="769" spans="2:8" ht="18">
      <c r="B769" s="1297" t="s">
        <v>1134</v>
      </c>
      <c r="C769" s="34"/>
      <c r="D769" s="34"/>
      <c r="E769" s="1959"/>
      <c r="F769" s="131"/>
      <c r="G769" s="32">
        <f>+'Related Parties'!G16</f>
        <v>4493760</v>
      </c>
      <c r="H769" s="1265">
        <v>5118012</v>
      </c>
    </row>
    <row r="770" spans="2:8" ht="18">
      <c r="B770" s="1297"/>
      <c r="C770" s="34"/>
      <c r="D770" s="34"/>
      <c r="E770" s="1959"/>
      <c r="F770" s="131"/>
      <c r="G770" s="32"/>
      <c r="H770" s="1265"/>
    </row>
    <row r="771" spans="2:8" ht="18">
      <c r="B771" s="1283" t="s">
        <v>3150</v>
      </c>
      <c r="C771" s="34"/>
      <c r="D771" s="34"/>
      <c r="E771" s="1959"/>
      <c r="F771" s="131"/>
      <c r="G771" s="32">
        <v>2607763</v>
      </c>
      <c r="H771" s="1265">
        <v>2118143</v>
      </c>
    </row>
    <row r="772" spans="2:8" ht="18" hidden="1">
      <c r="B772" s="1297" t="s">
        <v>1129</v>
      </c>
      <c r="C772" s="34"/>
      <c r="D772" s="34"/>
      <c r="E772" s="1959"/>
      <c r="F772" s="131"/>
      <c r="G772" s="32">
        <v>208411</v>
      </c>
      <c r="H772" s="1265">
        <v>514544</v>
      </c>
    </row>
    <row r="773" spans="2:8" ht="18" hidden="1">
      <c r="B773" s="1297" t="s">
        <v>1164</v>
      </c>
      <c r="C773" s="34"/>
      <c r="D773" s="34"/>
      <c r="E773" s="1959"/>
      <c r="F773" s="131"/>
      <c r="G773" s="32">
        <v>289027</v>
      </c>
      <c r="H773" s="1265">
        <v>0</v>
      </c>
    </row>
    <row r="774" spans="2:8" ht="18" hidden="1">
      <c r="B774" s="1297" t="s">
        <v>1130</v>
      </c>
      <c r="C774" s="34"/>
      <c r="D774" s="34"/>
      <c r="E774" s="1959"/>
      <c r="F774" s="131"/>
      <c r="G774" s="32">
        <v>528305</v>
      </c>
      <c r="H774" s="1265">
        <v>525548</v>
      </c>
    </row>
    <row r="775" spans="2:8" ht="18" hidden="1">
      <c r="B775" s="1297" t="s">
        <v>1139</v>
      </c>
      <c r="C775" s="34"/>
      <c r="D775" s="34"/>
      <c r="E775" s="1959"/>
      <c r="F775" s="131"/>
      <c r="G775" s="32">
        <f>155769</f>
        <v>155769</v>
      </c>
      <c r="H775" s="1265">
        <v>145041</v>
      </c>
    </row>
    <row r="776" spans="2:8" ht="18" hidden="1">
      <c r="B776" s="1297" t="s">
        <v>1165</v>
      </c>
      <c r="C776" s="34"/>
      <c r="D776" s="34"/>
      <c r="E776" s="1959"/>
      <c r="F776" s="131"/>
      <c r="G776" s="32">
        <v>100339</v>
      </c>
      <c r="H776" s="1265">
        <v>96694</v>
      </c>
    </row>
    <row r="777" spans="2:8" ht="18" hidden="1">
      <c r="B777" s="1297" t="s">
        <v>1140</v>
      </c>
      <c r="C777" s="34"/>
      <c r="D777" s="34"/>
      <c r="E777" s="1959"/>
      <c r="F777" s="131"/>
      <c r="G777" s="32">
        <v>83076</v>
      </c>
      <c r="H777" s="1265">
        <v>77355</v>
      </c>
    </row>
    <row r="778" spans="2:8" ht="18" hidden="1">
      <c r="B778" s="1297" t="s">
        <v>1166</v>
      </c>
      <c r="C778" s="34"/>
      <c r="D778" s="34"/>
      <c r="E778" s="1959"/>
      <c r="F778" s="131"/>
      <c r="G778" s="32">
        <v>311538</v>
      </c>
      <c r="H778" s="1265">
        <v>290081</v>
      </c>
    </row>
    <row r="779" spans="2:8" ht="18" hidden="1">
      <c r="B779" s="1297" t="s">
        <v>1148</v>
      </c>
      <c r="C779" s="34"/>
      <c r="D779" s="34"/>
      <c r="E779" s="1959"/>
      <c r="F779" s="131"/>
      <c r="G779" s="32">
        <v>108550</v>
      </c>
      <c r="H779" s="1265">
        <v>99156</v>
      </c>
    </row>
    <row r="780" spans="2:8" ht="18" hidden="1">
      <c r="B780" s="1297" t="s">
        <v>1150</v>
      </c>
      <c r="C780" s="34"/>
      <c r="D780" s="34"/>
      <c r="E780" s="1959"/>
      <c r="F780" s="131"/>
      <c r="G780" s="32">
        <v>100140</v>
      </c>
      <c r="H780" s="1265">
        <v>85822</v>
      </c>
    </row>
    <row r="781" spans="2:8" ht="18" hidden="1">
      <c r="B781" s="1297" t="s">
        <v>1146</v>
      </c>
      <c r="C781" s="34"/>
      <c r="D781" s="34"/>
      <c r="E781" s="1959"/>
      <c r="F781" s="131"/>
      <c r="G781" s="32">
        <v>240277</v>
      </c>
      <c r="H781" s="1265">
        <v>211213</v>
      </c>
    </row>
    <row r="782" spans="2:8" ht="18" hidden="1">
      <c r="B782" s="1297" t="s">
        <v>1167</v>
      </c>
      <c r="C782" s="34"/>
      <c r="D782" s="34"/>
      <c r="E782" s="1959"/>
      <c r="F782" s="131"/>
      <c r="G782" s="32">
        <v>173189</v>
      </c>
      <c r="H782" s="1265">
        <v>72689</v>
      </c>
    </row>
    <row r="783" spans="2:8" ht="18" hidden="1">
      <c r="B783" s="1297" t="s">
        <v>2242</v>
      </c>
      <c r="C783" s="34"/>
      <c r="D783" s="34"/>
      <c r="E783" s="1959"/>
      <c r="F783" s="131"/>
      <c r="G783" s="32">
        <v>33249</v>
      </c>
      <c r="H783" s="1265">
        <v>0</v>
      </c>
    </row>
    <row r="784" spans="2:8" ht="18" hidden="1">
      <c r="B784" s="1297" t="s">
        <v>1128</v>
      </c>
      <c r="C784" s="34"/>
      <c r="D784" s="34"/>
      <c r="E784" s="1959"/>
      <c r="F784" s="131"/>
      <c r="G784" s="32">
        <v>275893</v>
      </c>
      <c r="H784" s="1265">
        <v>0</v>
      </c>
    </row>
    <row r="785" spans="2:8" ht="18">
      <c r="B785" s="1297"/>
      <c r="C785" s="34"/>
      <c r="D785" s="34"/>
      <c r="E785" s="1959"/>
      <c r="F785" s="131"/>
      <c r="G785" s="32"/>
      <c r="H785" s="1265"/>
    </row>
    <row r="786" spans="2:8" ht="18">
      <c r="B786" s="1283" t="s">
        <v>1168</v>
      </c>
      <c r="C786" s="34"/>
      <c r="D786" s="34"/>
      <c r="E786" s="1959"/>
      <c r="F786" s="131"/>
      <c r="G786" s="32"/>
      <c r="H786" s="1265"/>
    </row>
    <row r="787" spans="2:8" ht="18">
      <c r="B787" s="1297" t="s">
        <v>1128</v>
      </c>
      <c r="C787" s="34"/>
      <c r="D787" s="34"/>
      <c r="E787" s="1959"/>
      <c r="G787" s="59">
        <f>410000+550000</f>
        <v>960000</v>
      </c>
      <c r="H787" s="1265">
        <v>960000</v>
      </c>
    </row>
    <row r="788" spans="2:8" ht="18">
      <c r="B788" s="1297" t="s">
        <v>1129</v>
      </c>
      <c r="C788" s="34"/>
      <c r="D788" s="34"/>
      <c r="E788" s="1959"/>
      <c r="G788" s="59">
        <v>1920000</v>
      </c>
      <c r="H788" s="1265">
        <v>1920000</v>
      </c>
    </row>
    <row r="789" spans="2:8" ht="18">
      <c r="B789" s="1297" t="s">
        <v>1130</v>
      </c>
      <c r="C789" s="34"/>
      <c r="D789" s="34"/>
      <c r="E789" s="1959"/>
      <c r="G789" s="59">
        <f>410000+550000</f>
        <v>960000</v>
      </c>
      <c r="H789" s="1265">
        <v>960000</v>
      </c>
    </row>
    <row r="790" spans="2:8" ht="18">
      <c r="B790" s="1297" t="s">
        <v>1131</v>
      </c>
      <c r="C790" s="34"/>
      <c r="D790" s="34"/>
      <c r="E790" s="1959"/>
      <c r="G790" s="59">
        <f>410000+550000</f>
        <v>960000</v>
      </c>
      <c r="H790" s="1265">
        <v>883871</v>
      </c>
    </row>
    <row r="791" spans="2:8" ht="18">
      <c r="B791" s="1297"/>
      <c r="C791" s="34"/>
      <c r="D791" s="34"/>
      <c r="E791" s="1959"/>
      <c r="F791" s="1959"/>
      <c r="G791" s="59"/>
      <c r="H791" s="1293"/>
    </row>
    <row r="792" spans="2:8" ht="18">
      <c r="B792" s="1283" t="s">
        <v>3151</v>
      </c>
      <c r="C792" s="34"/>
      <c r="D792" s="34"/>
      <c r="E792" s="1959"/>
      <c r="F792" s="1959"/>
      <c r="G792" s="59"/>
      <c r="H792" s="1293"/>
    </row>
    <row r="793" spans="2:8" ht="18.600000000000001" thickBot="1">
      <c r="B793" s="1232" t="s">
        <v>1167</v>
      </c>
      <c r="C793" s="1233"/>
      <c r="D793" s="1233"/>
      <c r="E793" s="1433"/>
      <c r="F793" s="1433"/>
      <c r="G793" s="1445">
        <v>840000</v>
      </c>
      <c r="H793" s="1446">
        <v>780000</v>
      </c>
    </row>
    <row r="794" spans="2:8" ht="18" hidden="1">
      <c r="B794" s="2102" t="s">
        <v>785</v>
      </c>
      <c r="C794" s="2103"/>
      <c r="D794" s="2103"/>
      <c r="E794" s="2103"/>
      <c r="F794" s="2103"/>
      <c r="G794" s="2103"/>
      <c r="H794" s="2104"/>
    </row>
    <row r="795" spans="2:8" ht="18" hidden="1">
      <c r="B795" s="2105" t="s">
        <v>2241</v>
      </c>
      <c r="C795" s="2106"/>
      <c r="D795" s="2106"/>
      <c r="E795" s="2106"/>
      <c r="F795" s="2106"/>
      <c r="G795" s="2106"/>
      <c r="H795" s="2107"/>
    </row>
    <row r="796" spans="2:8" ht="18" hidden="1">
      <c r="B796" s="1287" t="s">
        <v>0</v>
      </c>
      <c r="C796" s="1288"/>
      <c r="D796" s="1288"/>
      <c r="E796" s="1289"/>
      <c r="F796" s="1410"/>
      <c r="G796" s="1237" t="s">
        <v>840</v>
      </c>
      <c r="H796" s="1238" t="s">
        <v>840</v>
      </c>
    </row>
    <row r="797" spans="2:8" ht="18" hidden="1">
      <c r="B797" s="1269"/>
      <c r="C797" s="55"/>
      <c r="D797" s="55"/>
      <c r="E797" s="38"/>
      <c r="F797" s="130"/>
      <c r="G797" s="16" t="s">
        <v>789</v>
      </c>
      <c r="H797" s="1240" t="s">
        <v>790</v>
      </c>
    </row>
    <row r="798" spans="2:8" ht="18">
      <c r="B798" s="1297"/>
      <c r="C798" s="34"/>
      <c r="D798" s="34"/>
      <c r="E798" s="1959"/>
      <c r="F798" s="131"/>
      <c r="G798" s="32"/>
      <c r="H798" s="1265"/>
    </row>
    <row r="799" spans="2:8" ht="18">
      <c r="B799" s="1414" t="s">
        <v>1169</v>
      </c>
      <c r="C799" s="34"/>
      <c r="D799" s="34"/>
      <c r="E799" s="1959"/>
      <c r="F799" s="131"/>
      <c r="G799" s="32"/>
      <c r="H799" s="1265"/>
    </row>
    <row r="800" spans="2:8" ht="18">
      <c r="B800" s="1415" t="s">
        <v>1170</v>
      </c>
      <c r="C800" s="34"/>
      <c r="D800" s="34"/>
      <c r="E800" s="1959"/>
      <c r="F800" s="131"/>
      <c r="G800" s="32">
        <v>395594</v>
      </c>
      <c r="H800" s="1265">
        <v>3074084</v>
      </c>
    </row>
    <row r="801" spans="2:8" ht="18">
      <c r="B801" s="1415"/>
      <c r="C801" s="34"/>
      <c r="D801" s="34"/>
      <c r="E801" s="1959"/>
      <c r="F801" s="131"/>
      <c r="G801" s="32"/>
      <c r="H801" s="1265"/>
    </row>
    <row r="802" spans="2:8" ht="18">
      <c r="B802" s="1414" t="s">
        <v>2243</v>
      </c>
      <c r="C802" s="34"/>
      <c r="D802" s="34"/>
      <c r="E802" s="1959"/>
      <c r="F802" s="131"/>
      <c r="G802" s="32"/>
      <c r="H802" s="1265"/>
    </row>
    <row r="803" spans="2:8" ht="18">
      <c r="B803" s="1415" t="s">
        <v>1182</v>
      </c>
      <c r="C803" s="34"/>
      <c r="D803" s="34"/>
      <c r="E803" s="1959"/>
      <c r="F803" s="131"/>
      <c r="G803" s="32">
        <v>2391600</v>
      </c>
      <c r="H803" s="1265">
        <v>0</v>
      </c>
    </row>
    <row r="804" spans="2:8" ht="18">
      <c r="B804" s="1415"/>
      <c r="C804" s="34"/>
      <c r="D804" s="34"/>
      <c r="E804" s="1959"/>
      <c r="F804" s="131"/>
      <c r="G804" s="32"/>
      <c r="H804" s="1265"/>
    </row>
    <row r="805" spans="2:8" ht="18">
      <c r="B805" s="1414" t="s">
        <v>1171</v>
      </c>
      <c r="C805" s="34"/>
      <c r="D805" s="34"/>
      <c r="E805" s="1959"/>
      <c r="F805" s="131"/>
      <c r="G805" s="32"/>
      <c r="H805" s="1265"/>
    </row>
    <row r="806" spans="2:8" ht="18">
      <c r="B806" s="1415" t="s">
        <v>2854</v>
      </c>
      <c r="C806" s="34"/>
      <c r="D806" s="34"/>
      <c r="E806" s="1959"/>
      <c r="F806" s="131"/>
      <c r="G806" s="32">
        <f>+'Related Parties'!G5</f>
        <v>3858557</v>
      </c>
      <c r="H806" s="1265">
        <v>0</v>
      </c>
    </row>
    <row r="807" spans="2:8" ht="18">
      <c r="B807" s="1415" t="s">
        <v>2855</v>
      </c>
      <c r="C807" s="34"/>
      <c r="D807" s="34"/>
      <c r="E807" s="1959"/>
      <c r="F807" s="131"/>
      <c r="G807" s="32">
        <f>+'Related Parties'!G6</f>
        <v>19470315</v>
      </c>
      <c r="H807" s="1265">
        <v>0</v>
      </c>
    </row>
    <row r="808" spans="2:8" ht="18">
      <c r="B808" s="1415"/>
      <c r="C808" s="34"/>
      <c r="D808" s="34"/>
      <c r="E808" s="1959"/>
      <c r="F808" s="131"/>
      <c r="G808" s="32"/>
      <c r="H808" s="1265"/>
    </row>
    <row r="809" spans="2:8" ht="18">
      <c r="B809" s="1414" t="s">
        <v>1034</v>
      </c>
      <c r="C809" s="34"/>
      <c r="D809" s="34"/>
      <c r="E809" s="1959"/>
      <c r="F809" s="131"/>
      <c r="G809" s="32"/>
      <c r="H809" s="1265"/>
    </row>
    <row r="810" spans="2:8" ht="18">
      <c r="B810" s="1415" t="s">
        <v>2854</v>
      </c>
      <c r="C810" s="34"/>
      <c r="D810" s="34"/>
      <c r="E810" s="1959"/>
      <c r="F810" s="131"/>
      <c r="G810" s="32">
        <v>54438</v>
      </c>
      <c r="H810" s="1265">
        <v>0</v>
      </c>
    </row>
    <row r="811" spans="2:8" ht="18">
      <c r="B811" s="1415"/>
      <c r="C811" s="34"/>
      <c r="D811" s="34"/>
      <c r="E811" s="1959"/>
      <c r="F811" s="131"/>
      <c r="G811" s="32"/>
      <c r="H811" s="1265"/>
    </row>
    <row r="812" spans="2:8" ht="18">
      <c r="B812" s="1414" t="s">
        <v>1172</v>
      </c>
      <c r="C812" s="34"/>
      <c r="D812" s="34"/>
      <c r="E812" s="1959"/>
      <c r="F812" s="131"/>
      <c r="G812" s="32"/>
      <c r="H812" s="1265"/>
    </row>
    <row r="813" spans="2:8" ht="18">
      <c r="B813" s="1415" t="s">
        <v>1135</v>
      </c>
      <c r="C813" s="34"/>
      <c r="D813" s="34"/>
      <c r="E813" s="1959"/>
      <c r="F813" s="131"/>
      <c r="G813" s="32">
        <f>+'Related Parties'!G9</f>
        <v>10325176</v>
      </c>
      <c r="H813" s="1265">
        <v>23025864</v>
      </c>
    </row>
    <row r="814" spans="2:8" ht="18">
      <c r="B814" s="1415" t="s">
        <v>1136</v>
      </c>
      <c r="C814" s="34"/>
      <c r="D814" s="34"/>
      <c r="E814" s="1959"/>
      <c r="F814" s="131"/>
      <c r="G814" s="32">
        <f>+'Related Parties'!G10</f>
        <v>115495605</v>
      </c>
      <c r="H814" s="1265">
        <f>94159357-5051607</f>
        <v>89107750</v>
      </c>
    </row>
    <row r="815" spans="2:8" ht="18">
      <c r="B815" s="1415" t="s">
        <v>2854</v>
      </c>
      <c r="C815" s="34"/>
      <c r="D815" s="34"/>
      <c r="E815" s="1959"/>
      <c r="F815" s="131"/>
      <c r="G815" s="32">
        <f>+'Related Parties'!G17</f>
        <v>13459689</v>
      </c>
      <c r="H815" s="1265">
        <v>0</v>
      </c>
    </row>
    <row r="816" spans="2:8" ht="18">
      <c r="B816" s="1416"/>
      <c r="C816" s="55"/>
      <c r="D816" s="55"/>
      <c r="E816" s="38"/>
      <c r="F816" s="95"/>
      <c r="G816" s="39"/>
      <c r="H816" s="1270"/>
    </row>
    <row r="817" spans="2:8" ht="18">
      <c r="B817" s="1417" t="s">
        <v>1173</v>
      </c>
      <c r="C817" s="1411"/>
      <c r="D817" s="1411"/>
      <c r="E817" s="1340"/>
      <c r="F817" s="1412"/>
      <c r="G817" s="1413"/>
      <c r="H817" s="1342"/>
    </row>
    <row r="818" spans="2:8" ht="18">
      <c r="B818" s="1294" t="s">
        <v>3152</v>
      </c>
      <c r="C818" s="34"/>
      <c r="D818" s="34"/>
      <c r="E818" s="1959"/>
      <c r="F818" s="131"/>
      <c r="G818" s="32">
        <v>14400000</v>
      </c>
      <c r="H818" s="1265">
        <v>5971130</v>
      </c>
    </row>
    <row r="819" spans="2:8" ht="18" hidden="1">
      <c r="B819" s="1297" t="s">
        <v>1174</v>
      </c>
      <c r="C819" s="34"/>
      <c r="D819" s="34"/>
      <c r="E819" s="1959"/>
      <c r="F819" s="131"/>
      <c r="G819" s="32">
        <v>0</v>
      </c>
      <c r="H819" s="1265">
        <v>1182795</v>
      </c>
    </row>
    <row r="820" spans="2:8" ht="18" hidden="1">
      <c r="B820" s="1297" t="s">
        <v>1140</v>
      </c>
      <c r="C820" s="34"/>
      <c r="D820" s="34"/>
      <c r="E820" s="1959"/>
      <c r="F820" s="131"/>
      <c r="G820" s="32">
        <v>0</v>
      </c>
      <c r="H820" s="1265">
        <v>69620</v>
      </c>
    </row>
    <row r="821" spans="2:8" ht="18" hidden="1">
      <c r="B821" s="1297" t="s">
        <v>1148</v>
      </c>
      <c r="C821" s="34"/>
      <c r="D821" s="34"/>
      <c r="E821" s="1959"/>
      <c r="F821" s="131"/>
      <c r="G821" s="32">
        <v>0</v>
      </c>
      <c r="H821" s="1265">
        <v>144240</v>
      </c>
    </row>
    <row r="822" spans="2:8" ht="18" hidden="1">
      <c r="B822" s="1297" t="s">
        <v>1139</v>
      </c>
      <c r="C822" s="34"/>
      <c r="D822" s="34"/>
      <c r="E822" s="1959"/>
      <c r="F822" s="131"/>
      <c r="G822" s="32">
        <v>0</v>
      </c>
      <c r="H822" s="1265">
        <v>130537</v>
      </c>
    </row>
    <row r="823" spans="2:8" ht="18" hidden="1">
      <c r="B823" s="1297" t="s">
        <v>376</v>
      </c>
      <c r="C823" s="34"/>
      <c r="D823" s="34"/>
      <c r="E823" s="1959"/>
      <c r="F823" s="131"/>
      <c r="G823" s="32">
        <v>0</v>
      </c>
      <c r="H823" s="1265">
        <v>277240</v>
      </c>
    </row>
    <row r="824" spans="2:8" ht="18" hidden="1">
      <c r="B824" s="1297" t="s">
        <v>1166</v>
      </c>
      <c r="C824" s="34"/>
      <c r="D824" s="34"/>
      <c r="E824" s="1959"/>
      <c r="F824" s="131"/>
      <c r="G824" s="32">
        <v>0</v>
      </c>
      <c r="H824" s="1265">
        <v>261073</v>
      </c>
    </row>
    <row r="825" spans="2:8" ht="18" hidden="1">
      <c r="B825" s="1297" t="s">
        <v>1175</v>
      </c>
      <c r="C825" s="34"/>
      <c r="D825" s="34"/>
      <c r="E825" s="1959"/>
      <c r="F825" s="131"/>
      <c r="G825" s="32">
        <v>0</v>
      </c>
      <c r="H825" s="1265">
        <v>87024</v>
      </c>
    </row>
    <row r="826" spans="2:8" ht="18" hidden="1">
      <c r="B826" s="1297" t="s">
        <v>1146</v>
      </c>
      <c r="C826" s="34"/>
      <c r="D826" s="34"/>
      <c r="E826" s="1959"/>
      <c r="F826" s="131"/>
      <c r="G826" s="32">
        <v>0</v>
      </c>
      <c r="H826" s="1265">
        <v>1190092</v>
      </c>
    </row>
    <row r="827" spans="2:8" ht="18" hidden="1">
      <c r="B827" s="1297" t="s">
        <v>1176</v>
      </c>
      <c r="C827" s="34"/>
      <c r="D827" s="34"/>
      <c r="E827" s="1959"/>
      <c r="F827" s="131"/>
      <c r="G827" s="32">
        <v>1000000</v>
      </c>
      <c r="H827" s="1265">
        <v>463089</v>
      </c>
    </row>
    <row r="828" spans="2:8" ht="18" hidden="1">
      <c r="B828" s="1297" t="s">
        <v>1177</v>
      </c>
      <c r="C828" s="34"/>
      <c r="D828" s="34"/>
      <c r="E828" s="1959"/>
      <c r="F828" s="131"/>
      <c r="G828" s="32">
        <v>400000</v>
      </c>
      <c r="H828" s="1265">
        <v>2165420</v>
      </c>
    </row>
    <row r="829" spans="2:8" ht="18" hidden="1">
      <c r="B829" s="1297" t="s">
        <v>2244</v>
      </c>
      <c r="C829" s="34"/>
      <c r="D829" s="34"/>
      <c r="E829" s="1959"/>
      <c r="F829" s="131"/>
      <c r="G829" s="32">
        <v>2500000</v>
      </c>
      <c r="H829" s="1265">
        <v>0</v>
      </c>
    </row>
    <row r="830" spans="2:8" ht="18" hidden="1">
      <c r="B830" s="1297" t="s">
        <v>1131</v>
      </c>
      <c r="C830" s="34"/>
      <c r="D830" s="34"/>
      <c r="E830" s="1959"/>
      <c r="F830" s="131"/>
      <c r="G830" s="32">
        <v>4500000</v>
      </c>
      <c r="H830" s="1265">
        <v>0</v>
      </c>
    </row>
    <row r="831" spans="2:8" ht="18" hidden="1">
      <c r="B831" s="1297" t="s">
        <v>1128</v>
      </c>
      <c r="C831" s="34"/>
      <c r="D831" s="34"/>
      <c r="E831" s="1959"/>
      <c r="F831" s="131"/>
      <c r="G831" s="32">
        <v>6000000</v>
      </c>
      <c r="H831" s="1265">
        <v>0</v>
      </c>
    </row>
    <row r="832" spans="2:8" ht="18">
      <c r="B832" s="1297"/>
      <c r="C832" s="34"/>
      <c r="D832" s="34"/>
      <c r="E832" s="1959"/>
      <c r="F832" s="131"/>
      <c r="G832" s="32"/>
      <c r="H832" s="1265"/>
    </row>
    <row r="833" spans="2:8" ht="18">
      <c r="B833" s="1294" t="s">
        <v>3153</v>
      </c>
      <c r="C833" s="34"/>
      <c r="D833" s="34"/>
      <c r="E833" s="1959"/>
      <c r="F833" s="131"/>
      <c r="G833" s="32">
        <v>2960388</v>
      </c>
      <c r="H833" s="1265">
        <v>2100000</v>
      </c>
    </row>
    <row r="834" spans="2:8" ht="18" hidden="1">
      <c r="B834" s="1297" t="s">
        <v>1176</v>
      </c>
      <c r="C834" s="34"/>
      <c r="D834" s="34"/>
      <c r="E834" s="1959"/>
      <c r="F834" s="131"/>
      <c r="G834" s="32">
        <v>600000</v>
      </c>
      <c r="H834" s="1265">
        <v>1100000</v>
      </c>
    </row>
    <row r="835" spans="2:8" ht="18" hidden="1">
      <c r="B835" s="1297" t="s">
        <v>1174</v>
      </c>
      <c r="C835" s="34"/>
      <c r="D835" s="34"/>
      <c r="E835" s="1959"/>
      <c r="F835" s="131"/>
      <c r="G835" s="32">
        <v>0</v>
      </c>
      <c r="H835" s="1265">
        <v>1000000</v>
      </c>
    </row>
    <row r="836" spans="2:8" ht="18" hidden="1">
      <c r="B836" s="1297" t="s">
        <v>1175</v>
      </c>
      <c r="C836" s="34"/>
      <c r="D836" s="34"/>
      <c r="E836" s="1959"/>
      <c r="F836" s="131"/>
      <c r="G836" s="32">
        <v>500000</v>
      </c>
      <c r="H836" s="1265">
        <v>0</v>
      </c>
    </row>
    <row r="837" spans="2:8" ht="18" hidden="1">
      <c r="B837" s="1297" t="s">
        <v>1146</v>
      </c>
      <c r="C837" s="34"/>
      <c r="D837" s="34"/>
      <c r="E837" s="1959"/>
      <c r="F837" s="131"/>
      <c r="G837" s="32">
        <v>1035388</v>
      </c>
      <c r="H837" s="1265">
        <v>0</v>
      </c>
    </row>
    <row r="838" spans="2:8" ht="18" hidden="1">
      <c r="B838" s="1297" t="s">
        <v>1177</v>
      </c>
      <c r="C838" s="34"/>
      <c r="D838" s="34"/>
      <c r="E838" s="1959"/>
      <c r="F838" s="131"/>
      <c r="G838" s="32">
        <v>825000</v>
      </c>
      <c r="H838" s="1265">
        <v>0</v>
      </c>
    </row>
    <row r="839" spans="2:8" ht="18">
      <c r="B839" s="1297"/>
      <c r="C839" s="34"/>
      <c r="D839" s="34"/>
      <c r="E839" s="1959"/>
      <c r="F839" s="131"/>
      <c r="G839" s="32"/>
      <c r="H839" s="1265"/>
    </row>
    <row r="840" spans="2:8" ht="18" hidden="1">
      <c r="B840" s="1287" t="s">
        <v>0</v>
      </c>
      <c r="C840" s="1288"/>
      <c r="D840" s="1288"/>
      <c r="E840" s="1289"/>
      <c r="F840" s="1410"/>
      <c r="G840" s="1237" t="s">
        <v>840</v>
      </c>
      <c r="H840" s="1238" t="s">
        <v>840</v>
      </c>
    </row>
    <row r="841" spans="2:8" ht="18" hidden="1">
      <c r="B841" s="1269"/>
      <c r="C841" s="55"/>
      <c r="D841" s="55"/>
      <c r="E841" s="38"/>
      <c r="F841" s="130"/>
      <c r="G841" s="16" t="s">
        <v>789</v>
      </c>
      <c r="H841" s="1240" t="s">
        <v>790</v>
      </c>
    </row>
    <row r="842" spans="2:8" ht="18">
      <c r="B842" s="1329" t="s">
        <v>3155</v>
      </c>
      <c r="F842" s="2015"/>
      <c r="G842" s="672"/>
      <c r="H842" s="1418"/>
    </row>
    <row r="843" spans="2:8" ht="18">
      <c r="B843" s="1297"/>
      <c r="D843" s="2132" t="s">
        <v>1179</v>
      </c>
      <c r="E843" s="2132"/>
      <c r="F843" s="2052"/>
      <c r="G843" s="23"/>
      <c r="H843" s="1251"/>
    </row>
    <row r="844" spans="2:8" ht="18">
      <c r="B844" s="1049"/>
      <c r="D844" s="2052" t="s">
        <v>2394</v>
      </c>
      <c r="E844" s="2052" t="s">
        <v>938</v>
      </c>
      <c r="F844" s="673"/>
      <c r="G844" s="148"/>
      <c r="H844" s="1461"/>
    </row>
    <row r="845" spans="2:8" ht="18">
      <c r="B845" s="1283" t="s">
        <v>3154</v>
      </c>
      <c r="D845" s="2084">
        <v>42581809</v>
      </c>
      <c r="E845" s="2084">
        <v>25735831</v>
      </c>
      <c r="F845" s="634"/>
      <c r="G845" s="21">
        <v>37803245</v>
      </c>
      <c r="H845" s="1248">
        <v>24020979</v>
      </c>
    </row>
    <row r="846" spans="2:8" ht="18" hidden="1">
      <c r="B846" s="1297" t="s">
        <v>1174</v>
      </c>
      <c r="D846" s="31">
        <v>3290010</v>
      </c>
      <c r="E846" s="31">
        <v>3499185</v>
      </c>
      <c r="F846" s="634"/>
      <c r="G846" s="59">
        <v>2718431</v>
      </c>
      <c r="H846" s="1293">
        <v>2535850</v>
      </c>
    </row>
    <row r="847" spans="2:8" ht="18" hidden="1">
      <c r="B847" s="1297" t="s">
        <v>1139</v>
      </c>
      <c r="D847" s="31">
        <v>2035251</v>
      </c>
      <c r="E847" s="31">
        <v>1895328</v>
      </c>
      <c r="F847" s="634"/>
      <c r="G847" s="59">
        <v>2035521</v>
      </c>
      <c r="H847" s="1293">
        <v>1895328</v>
      </c>
    </row>
    <row r="848" spans="2:8" ht="18" hidden="1">
      <c r="B848" s="1297" t="s">
        <v>1180</v>
      </c>
      <c r="D848" s="31">
        <v>1348334</v>
      </c>
      <c r="E848" s="31">
        <v>1263552</v>
      </c>
      <c r="F848" s="634"/>
      <c r="G848" s="59">
        <v>853856</v>
      </c>
      <c r="H848" s="1293">
        <v>1263552</v>
      </c>
    </row>
    <row r="849" spans="2:8" ht="18" hidden="1">
      <c r="B849" s="1297" t="s">
        <v>1140</v>
      </c>
      <c r="D849" s="31">
        <v>1085610</v>
      </c>
      <c r="E849" s="31">
        <v>1010842</v>
      </c>
      <c r="F849" s="634"/>
      <c r="G849" s="59">
        <v>1085610</v>
      </c>
      <c r="H849" s="1293">
        <v>1010842</v>
      </c>
    </row>
    <row r="850" spans="2:8" ht="18" hidden="1">
      <c r="B850" s="1297" t="s">
        <v>1166</v>
      </c>
      <c r="D850" s="31">
        <v>4071040</v>
      </c>
      <c r="E850" s="31">
        <v>3790656</v>
      </c>
      <c r="F850" s="634"/>
      <c r="G850" s="59">
        <v>4071040</v>
      </c>
      <c r="H850" s="1293">
        <v>3790656</v>
      </c>
    </row>
    <row r="851" spans="2:8" ht="18" hidden="1">
      <c r="B851" s="1297" t="s">
        <v>1130</v>
      </c>
      <c r="D851" s="31">
        <v>7544039</v>
      </c>
      <c r="E851" s="31">
        <v>6499080</v>
      </c>
      <c r="F851" s="634"/>
      <c r="G851" s="59">
        <v>6626309</v>
      </c>
      <c r="H851" s="1293">
        <v>5747563</v>
      </c>
    </row>
    <row r="852" spans="2:8" ht="18" hidden="1">
      <c r="B852" s="1297" t="s">
        <v>1148</v>
      </c>
      <c r="D852" s="31">
        <v>1418464</v>
      </c>
      <c r="E852" s="31">
        <v>1320768</v>
      </c>
      <c r="F852" s="634"/>
      <c r="G852" s="59">
        <v>1418464</v>
      </c>
      <c r="H852" s="1293">
        <v>1320768</v>
      </c>
    </row>
    <row r="853" spans="2:8" ht="18" hidden="1">
      <c r="B853" s="1297" t="s">
        <v>376</v>
      </c>
      <c r="D853" s="31">
        <v>1308589</v>
      </c>
      <c r="E853" s="31">
        <v>1218462</v>
      </c>
      <c r="F853" s="634"/>
      <c r="G853" s="59">
        <v>1308589</v>
      </c>
      <c r="H853" s="1293">
        <v>1218462</v>
      </c>
    </row>
    <row r="854" spans="2:8" ht="18" hidden="1">
      <c r="B854" s="1297" t="s">
        <v>1146</v>
      </c>
      <c r="D854" s="31">
        <v>3229650</v>
      </c>
      <c r="E854" s="31">
        <v>3072538</v>
      </c>
      <c r="F854" s="634"/>
      <c r="G854" s="59">
        <v>2253400</v>
      </c>
      <c r="H854" s="1293">
        <v>3072538</v>
      </c>
    </row>
    <row r="855" spans="2:8" ht="18" hidden="1">
      <c r="B855" s="1297" t="s">
        <v>1177</v>
      </c>
      <c r="D855" s="31">
        <v>2607458</v>
      </c>
      <c r="E855" s="31">
        <v>2165420</v>
      </c>
      <c r="F855" s="634"/>
      <c r="G855" s="59">
        <v>1896290</v>
      </c>
      <c r="H855" s="1293">
        <v>2165420</v>
      </c>
    </row>
    <row r="856" spans="2:8" ht="18" hidden="1">
      <c r="B856" s="1297" t="s">
        <v>2395</v>
      </c>
      <c r="D856" s="31">
        <v>5310124</v>
      </c>
      <c r="E856" s="31">
        <v>0</v>
      </c>
      <c r="F856" s="634"/>
      <c r="G856" s="59">
        <v>4760312</v>
      </c>
      <c r="H856" s="1293">
        <v>0</v>
      </c>
    </row>
    <row r="857" spans="2:8" ht="18" hidden="1">
      <c r="B857" s="1297" t="s">
        <v>2242</v>
      </c>
      <c r="D857" s="31">
        <v>2529925</v>
      </c>
      <c r="E857" s="31">
        <v>0</v>
      </c>
      <c r="F857" s="634"/>
      <c r="G857" s="59">
        <v>2529925</v>
      </c>
      <c r="H857" s="1293">
        <v>0</v>
      </c>
    </row>
    <row r="858" spans="2:8" ht="18" hidden="1">
      <c r="B858" s="1297" t="s">
        <v>1128</v>
      </c>
      <c r="C858" s="31"/>
      <c r="D858" s="31">
        <v>6803315</v>
      </c>
      <c r="E858" s="31">
        <v>0</v>
      </c>
      <c r="F858" s="634"/>
      <c r="G858" s="59">
        <v>6245498</v>
      </c>
      <c r="H858" s="1293">
        <v>0</v>
      </c>
    </row>
    <row r="859" spans="2:8" ht="18" hidden="1">
      <c r="B859" s="1297"/>
      <c r="C859" s="31"/>
      <c r="D859" s="31"/>
      <c r="E859" s="31"/>
      <c r="F859" s="634"/>
      <c r="G859" s="59"/>
      <c r="H859" s="1293"/>
    </row>
    <row r="860" spans="2:8" ht="18">
      <c r="B860" s="1297"/>
      <c r="C860" s="634"/>
      <c r="D860" s="634"/>
      <c r="E860" s="635"/>
      <c r="F860" s="635"/>
      <c r="G860" s="636"/>
      <c r="H860" s="1419"/>
    </row>
    <row r="861" spans="2:8" ht="18">
      <c r="B861" s="1283" t="s">
        <v>1181</v>
      </c>
      <c r="C861" s="634"/>
      <c r="D861" s="634"/>
      <c r="E861" s="635"/>
      <c r="F861" s="635"/>
      <c r="G861" s="636"/>
      <c r="H861" s="1419"/>
    </row>
    <row r="862" spans="2:8" ht="18">
      <c r="B862" s="1415" t="s">
        <v>1183</v>
      </c>
      <c r="C862" s="132"/>
      <c r="D862" s="132"/>
      <c r="E862" s="2004"/>
      <c r="F862" s="2004"/>
      <c r="G862" s="58">
        <f>+GETPIVOTDATA("Sum of Cr. Final 22-23",Pivot!$A$3,"PARTICULARS","Saini Transport Co.","Note",17,"BS Main Head","Trade Payables","BS Sub Head","Trade Payables")</f>
        <v>1561707</v>
      </c>
      <c r="H862" s="1292">
        <v>122753</v>
      </c>
    </row>
    <row r="863" spans="2:8" ht="18">
      <c r="B863" s="1415" t="s">
        <v>2854</v>
      </c>
      <c r="C863" s="132"/>
      <c r="D863" s="132"/>
      <c r="E863" s="2004"/>
      <c r="F863" s="2004"/>
      <c r="G863" s="58">
        <f>+GETPIVOTDATA("Sum of Cr. Final 22-23",Pivot!$A$3,"PARTICULARS","ANAMIKA TRADERS [ WP ]","Note",17,"BS Main Head","Trade Payables","BS Sub Head","Trade Payables")</f>
        <v>146832</v>
      </c>
      <c r="H863" s="1292">
        <f>+GETPIVOTDATA("Sum of Cr. Final 21-22",Pivot!$A$3,"PARTICULARS","ANAMIKA TRADERS [ WP ]","Note",17,"BS Main Head","Trade Payables","BS Sub Head","Trade Payables")</f>
        <v>782311</v>
      </c>
    </row>
    <row r="864" spans="2:8" ht="18">
      <c r="B864" s="1415" t="s">
        <v>2855</v>
      </c>
      <c r="C864" s="132"/>
      <c r="D864" s="132"/>
      <c r="E864" s="2004"/>
      <c r="F864" s="2004"/>
      <c r="G864" s="58">
        <f>+GETPIVOTDATA("Sum of Cr. Final 22-23",Pivot!$A$3,"PARTICULARS","SHREE ENTERPRISES [WP]","Note",17,"BS Main Head","Trade Payables","BS Sub Head","Trade Payables")</f>
        <v>2129493</v>
      </c>
      <c r="H864" s="1292">
        <f>+GETPIVOTDATA("Sum of Cr. Final 21-22",Pivot!$A$3,"PARTICULARS","SHREE ENTERPRISES [WP]","Note",17,"BS Main Head","Trade Payables","BS Sub Head","Trade Payables")</f>
        <v>2686453</v>
      </c>
    </row>
    <row r="865" spans="2:8" ht="18">
      <c r="B865" s="1415"/>
      <c r="C865" s="132"/>
      <c r="D865" s="132"/>
      <c r="E865" s="2004"/>
      <c r="F865" s="2004"/>
      <c r="G865" s="58"/>
      <c r="H865" s="1292"/>
    </row>
    <row r="866" spans="2:8" ht="18">
      <c r="B866" s="1414" t="s">
        <v>16</v>
      </c>
      <c r="C866" s="132"/>
      <c r="D866" s="132"/>
      <c r="E866" s="2004"/>
      <c r="F866" s="2004"/>
      <c r="G866" s="58"/>
      <c r="H866" s="1292"/>
    </row>
    <row r="867" spans="2:8" ht="18">
      <c r="B867" s="1415" t="s">
        <v>1135</v>
      </c>
      <c r="C867" s="634"/>
      <c r="D867" s="634"/>
      <c r="E867" s="635"/>
      <c r="F867" s="635"/>
      <c r="G867" s="636">
        <f>+GETPIVOTDATA("Sum of Dr. Final 22-23",Pivot!$A$3,"PARTICULARS","CHANDRA SALES CORPORATION(SALE)","Note",6,"BS Main Head","Financial Assets","BS Sub Head","Trade Receivables")</f>
        <v>305863</v>
      </c>
      <c r="H867" s="1419">
        <v>9482492</v>
      </c>
    </row>
    <row r="868" spans="2:8" ht="18">
      <c r="B868" s="1415" t="s">
        <v>1182</v>
      </c>
      <c r="C868" s="634"/>
      <c r="D868" s="634"/>
      <c r="E868" s="635"/>
      <c r="F868" s="635"/>
      <c r="G868" s="636">
        <f>+GETPIVOTDATA("Sum of Dr. Final 22-23",Pivot!$A$3,"PARTICULARS","CHANDRA COAL PVT. LTD. (SALE)","Note",6,"BS Main Head","Financial Assets","BS Sub Head","Trade Receivables")</f>
        <v>10899010</v>
      </c>
      <c r="H868" s="1419">
        <v>0</v>
      </c>
    </row>
    <row r="869" spans="2:8" ht="18.600000000000001" thickBot="1">
      <c r="B869" s="1232"/>
      <c r="C869" s="1438"/>
      <c r="D869" s="1438"/>
      <c r="E869" s="1433"/>
      <c r="F869" s="1433"/>
      <c r="G869" s="1445"/>
      <c r="H869" s="1446"/>
    </row>
    <row r="870" spans="2:8" ht="18">
      <c r="B870" s="2102" t="s">
        <v>785</v>
      </c>
      <c r="C870" s="2103"/>
      <c r="D870" s="2103"/>
      <c r="E870" s="2103"/>
      <c r="F870" s="2103"/>
      <c r="G870" s="2103"/>
      <c r="H870" s="2104"/>
    </row>
    <row r="871" spans="2:8" ht="18">
      <c r="B871" s="2124" t="s">
        <v>2241</v>
      </c>
      <c r="C871" s="2125"/>
      <c r="D871" s="2125"/>
      <c r="E871" s="2125"/>
      <c r="F871" s="2125"/>
      <c r="G871" s="2125"/>
      <c r="H871" s="2126"/>
    </row>
    <row r="872" spans="2:8" ht="18">
      <c r="B872" s="1531"/>
      <c r="C872" s="1529"/>
      <c r="D872" s="1529"/>
      <c r="E872" s="1529"/>
      <c r="F872" s="1529"/>
      <c r="G872" s="1529"/>
      <c r="H872" s="1530"/>
    </row>
    <row r="873" spans="2:8" ht="18">
      <c r="B873" s="1287" t="s">
        <v>0</v>
      </c>
      <c r="C873" s="1288"/>
      <c r="D873" s="1288"/>
      <c r="E873" s="1289"/>
      <c r="F873" s="1289"/>
      <c r="G873" s="1237" t="s">
        <v>840</v>
      </c>
      <c r="H873" s="1238" t="s">
        <v>840</v>
      </c>
    </row>
    <row r="874" spans="2:8" ht="18">
      <c r="B874" s="1269"/>
      <c r="C874" s="55"/>
      <c r="D874" s="55"/>
      <c r="E874" s="38"/>
      <c r="F874" s="38"/>
      <c r="G874" s="16" t="s">
        <v>789</v>
      </c>
      <c r="H874" s="1240" t="s">
        <v>790</v>
      </c>
    </row>
    <row r="875" spans="2:8" ht="18">
      <c r="B875" s="1420"/>
      <c r="C875" s="1411"/>
      <c r="D875" s="1411"/>
      <c r="E875" s="1305"/>
      <c r="F875" s="1305"/>
      <c r="G875" s="1298"/>
      <c r="H875" s="1299"/>
    </row>
    <row r="876" spans="2:8" ht="18">
      <c r="B876" s="1310" t="s">
        <v>2824</v>
      </c>
      <c r="C876" s="68"/>
      <c r="D876" s="68"/>
      <c r="E876" s="1958"/>
      <c r="F876" s="1958"/>
      <c r="G876" s="81"/>
      <c r="H876" s="1324"/>
    </row>
    <row r="877" spans="2:8" ht="18">
      <c r="B877" s="1297"/>
      <c r="C877" s="34"/>
      <c r="D877" s="34"/>
      <c r="E877" s="1958"/>
      <c r="F877" s="1958"/>
      <c r="G877" s="81"/>
      <c r="H877" s="1324"/>
    </row>
    <row r="878" spans="2:8" ht="18">
      <c r="B878" s="1311" t="s">
        <v>1184</v>
      </c>
      <c r="C878" s="2004"/>
      <c r="D878" s="2004"/>
      <c r="E878" s="1958"/>
      <c r="F878" s="1958"/>
      <c r="G878" s="81"/>
      <c r="H878" s="1324"/>
    </row>
    <row r="879" spans="2:8" ht="18">
      <c r="B879" s="1294" t="s">
        <v>1185</v>
      </c>
      <c r="C879" s="2004"/>
      <c r="D879" s="2004"/>
      <c r="E879" s="1958"/>
      <c r="F879" s="132"/>
      <c r="G879" s="58">
        <v>5000000</v>
      </c>
      <c r="H879" s="1292">
        <v>5000000</v>
      </c>
    </row>
    <row r="880" spans="2:8" ht="18">
      <c r="B880" s="1294" t="s">
        <v>2923</v>
      </c>
      <c r="C880" s="34"/>
      <c r="D880" s="34"/>
      <c r="E880" s="1958"/>
      <c r="F880" s="132"/>
      <c r="G880" s="21">
        <v>825000</v>
      </c>
      <c r="H880" s="1248">
        <v>825000</v>
      </c>
    </row>
    <row r="881" spans="2:8" ht="18">
      <c r="B881" s="1294" t="s">
        <v>1186</v>
      </c>
      <c r="C881" s="34"/>
      <c r="D881" s="34"/>
      <c r="E881" s="1958"/>
      <c r="F881" s="132"/>
      <c r="G881" s="21">
        <v>500000</v>
      </c>
      <c r="H881" s="1248">
        <v>500000</v>
      </c>
    </row>
    <row r="882" spans="2:8" ht="18">
      <c r="B882" s="1294"/>
      <c r="C882" s="34"/>
      <c r="D882" s="34"/>
      <c r="E882" s="1958"/>
      <c r="F882" s="132"/>
      <c r="G882" s="21"/>
      <c r="H882" s="1248"/>
    </row>
    <row r="883" spans="2:8" ht="18">
      <c r="B883" s="1300" t="s">
        <v>1187</v>
      </c>
      <c r="C883" s="34"/>
      <c r="D883" s="34"/>
      <c r="E883" s="1958"/>
      <c r="F883" s="1958"/>
      <c r="G883" s="21">
        <f>+'MSME Int'!D32</f>
        <v>47689.019793747044</v>
      </c>
      <c r="H883" s="1248">
        <v>0</v>
      </c>
    </row>
    <row r="884" spans="2:8" ht="18">
      <c r="B884" s="1229" t="s">
        <v>841</v>
      </c>
      <c r="C884" s="2004"/>
      <c r="D884" s="2004"/>
      <c r="E884" s="1958"/>
      <c r="F884" s="1958"/>
      <c r="G884" s="21" t="s">
        <v>841</v>
      </c>
      <c r="H884" s="1248" t="s">
        <v>841</v>
      </c>
    </row>
    <row r="885" spans="2:8" ht="18">
      <c r="B885" s="1300" t="s">
        <v>1188</v>
      </c>
      <c r="C885" s="2004"/>
      <c r="D885" s="2004"/>
      <c r="E885" s="1958"/>
      <c r="F885" s="1958"/>
      <c r="G885" s="21">
        <v>43930</v>
      </c>
      <c r="H885" s="1248">
        <v>50620</v>
      </c>
    </row>
    <row r="886" spans="2:8" ht="18">
      <c r="B886" s="1229"/>
      <c r="C886" s="2004"/>
      <c r="D886" s="2004"/>
      <c r="E886" s="1958"/>
      <c r="F886" s="1958"/>
      <c r="G886" s="21"/>
      <c r="H886" s="1248"/>
    </row>
    <row r="887" spans="2:8" ht="18">
      <c r="B887" s="1300" t="s">
        <v>1189</v>
      </c>
      <c r="C887" s="2004"/>
      <c r="D887" s="2004"/>
      <c r="E887" s="1958"/>
      <c r="F887" s="1958"/>
      <c r="G887" s="21"/>
      <c r="H887" s="1248"/>
    </row>
    <row r="888" spans="2:8" ht="18">
      <c r="B888" s="1294" t="s">
        <v>1190</v>
      </c>
      <c r="C888" s="2004"/>
      <c r="D888" s="2004"/>
      <c r="E888" s="1958"/>
      <c r="F888" s="1958"/>
      <c r="G888" s="21">
        <v>0</v>
      </c>
      <c r="H888" s="1248">
        <v>17225881</v>
      </c>
    </row>
    <row r="889" spans="2:8" ht="18">
      <c r="B889" s="1294" t="s">
        <v>1191</v>
      </c>
      <c r="C889" s="2004"/>
      <c r="D889" s="2004"/>
      <c r="E889" s="1958"/>
      <c r="F889" s="1958"/>
      <c r="G889" s="21">
        <v>0</v>
      </c>
      <c r="H889" s="1248">
        <v>10080910</v>
      </c>
    </row>
    <row r="890" spans="2:8" ht="78" customHeight="1">
      <c r="B890" s="2110" t="s">
        <v>3121</v>
      </c>
      <c r="C890" s="2111"/>
      <c r="D890" s="2111"/>
      <c r="E890" s="2111"/>
      <c r="F890" s="2111"/>
      <c r="G890" s="21"/>
      <c r="H890" s="1248"/>
    </row>
    <row r="891" spans="2:8" ht="18">
      <c r="B891" s="1245"/>
      <c r="C891" s="2005"/>
      <c r="D891" s="2005"/>
      <c r="E891" s="2005"/>
      <c r="F891" s="2006"/>
      <c r="G891" s="21"/>
      <c r="H891" s="1248"/>
    </row>
    <row r="892" spans="2:8" ht="18">
      <c r="B892" s="1300" t="s">
        <v>1192</v>
      </c>
      <c r="C892" s="2006"/>
      <c r="D892" s="2006"/>
      <c r="E892" s="2006"/>
      <c r="F892" s="2006"/>
      <c r="G892" s="21"/>
      <c r="H892" s="1248"/>
    </row>
    <row r="893" spans="2:8" ht="18">
      <c r="B893" s="1294" t="s">
        <v>1190</v>
      </c>
      <c r="C893" s="2006"/>
      <c r="D893" s="2006"/>
      <c r="E893" s="2006"/>
      <c r="F893" s="2006"/>
      <c r="G893" s="21">
        <v>0</v>
      </c>
      <c r="H893" s="1248">
        <v>0</v>
      </c>
    </row>
    <row r="894" spans="2:8" ht="18">
      <c r="B894" s="1294" t="s">
        <v>1191</v>
      </c>
      <c r="C894" s="2006"/>
      <c r="D894" s="2006"/>
      <c r="E894" s="2006"/>
      <c r="F894" s="2006"/>
      <c r="G894" s="21">
        <v>667226</v>
      </c>
      <c r="H894" s="1248">
        <v>667226</v>
      </c>
    </row>
    <row r="895" spans="2:8" ht="18">
      <c r="B895" s="1300" t="s">
        <v>1193</v>
      </c>
      <c r="C895" s="2006"/>
      <c r="D895" s="2006"/>
      <c r="E895" s="2006"/>
      <c r="F895" s="2006"/>
      <c r="G895" s="21"/>
      <c r="H895" s="1248"/>
    </row>
    <row r="896" spans="2:8" ht="18">
      <c r="B896" s="1294" t="s">
        <v>1190</v>
      </c>
      <c r="C896" s="2006"/>
      <c r="D896" s="2006"/>
      <c r="E896" s="2006"/>
      <c r="F896" s="2006"/>
      <c r="G896" s="21">
        <v>0</v>
      </c>
      <c r="H896" s="1248">
        <v>0</v>
      </c>
    </row>
    <row r="897" spans="2:8" ht="18">
      <c r="B897" s="1294" t="s">
        <v>1191</v>
      </c>
      <c r="C897" s="2006"/>
      <c r="D897" s="2006"/>
      <c r="E897" s="2006"/>
      <c r="F897" s="2006"/>
      <c r="G897" s="21">
        <v>627223</v>
      </c>
      <c r="H897" s="1248">
        <v>627223</v>
      </c>
    </row>
    <row r="898" spans="2:8" ht="128.4" customHeight="1">
      <c r="B898" s="2127" t="s">
        <v>3114</v>
      </c>
      <c r="C898" s="2128"/>
      <c r="D898" s="2128"/>
      <c r="E898" s="2128"/>
      <c r="F898" s="2128"/>
      <c r="G898" s="85"/>
      <c r="H898" s="1330"/>
    </row>
    <row r="899" spans="2:8" ht="18">
      <c r="B899" s="1852"/>
      <c r="C899" s="2007"/>
      <c r="D899" s="2007"/>
      <c r="E899" s="2007"/>
      <c r="F899" s="2007"/>
      <c r="G899" s="85"/>
      <c r="H899" s="1330"/>
    </row>
    <row r="900" spans="2:8" ht="18">
      <c r="B900" s="1797" t="s">
        <v>1194</v>
      </c>
      <c r="C900" s="2007"/>
      <c r="D900" s="2007"/>
      <c r="E900" s="2007"/>
      <c r="F900" s="2007"/>
      <c r="G900" s="85"/>
      <c r="H900" s="1330"/>
    </row>
    <row r="901" spans="2:8" ht="18">
      <c r="B901" s="2129" t="s">
        <v>1195</v>
      </c>
      <c r="C901" s="2130"/>
      <c r="D901" s="2130"/>
      <c r="E901" s="2130"/>
      <c r="F901" s="2131"/>
      <c r="G901" s="1798">
        <f>+(2050000-5000)+(598250-204000)</f>
        <v>2439250</v>
      </c>
      <c r="H901" s="1799">
        <v>0</v>
      </c>
    </row>
    <row r="902" spans="2:8" ht="18">
      <c r="B902" s="1421"/>
      <c r="C902" s="2008"/>
      <c r="D902" s="2008"/>
      <c r="E902" s="2008"/>
      <c r="F902" s="2008"/>
      <c r="G902" s="29"/>
      <c r="H902" s="1263"/>
    </row>
    <row r="903" spans="2:8" ht="18">
      <c r="B903" s="1310" t="s">
        <v>2825</v>
      </c>
      <c r="C903" s="2004"/>
      <c r="D903" s="2004"/>
      <c r="E903" s="1958"/>
      <c r="F903" s="1958"/>
      <c r="G903" s="36"/>
      <c r="H903" s="1267"/>
    </row>
    <row r="904" spans="2:8" ht="18">
      <c r="B904" s="2110" t="s">
        <v>1197</v>
      </c>
      <c r="C904" s="2111"/>
      <c r="D904" s="2111"/>
      <c r="E904" s="2111"/>
      <c r="F904" s="2111"/>
      <c r="G904" s="2111"/>
      <c r="H904" s="2112"/>
    </row>
    <row r="905" spans="2:8" ht="18">
      <c r="B905" s="1422"/>
      <c r="C905" s="1952"/>
      <c r="D905" s="1952"/>
      <c r="E905" s="1952"/>
      <c r="F905" s="1952"/>
      <c r="G905" s="115"/>
      <c r="H905" s="1253"/>
    </row>
    <row r="906" spans="2:8" ht="18">
      <c r="B906" s="1310" t="s">
        <v>2787</v>
      </c>
      <c r="C906" s="2004"/>
      <c r="D906" s="2004"/>
      <c r="E906" s="1958"/>
      <c r="F906" s="1958"/>
      <c r="G906" s="36"/>
      <c r="H906" s="1267"/>
    </row>
    <row r="907" spans="2:8" ht="23.4" customHeight="1">
      <c r="B907" s="2110" t="s">
        <v>1198</v>
      </c>
      <c r="C907" s="2111"/>
      <c r="D907" s="2111"/>
      <c r="E907" s="2111"/>
      <c r="F907" s="2111"/>
      <c r="G907" s="2111"/>
      <c r="H907" s="2112"/>
    </row>
    <row r="908" spans="2:8" ht="18">
      <c r="B908" s="1565"/>
      <c r="C908" s="2006"/>
      <c r="D908" s="2006"/>
      <c r="E908" s="2006"/>
      <c r="F908" s="2006"/>
      <c r="G908" s="66"/>
      <c r="H908" s="1308"/>
    </row>
    <row r="909" spans="2:8" ht="18">
      <c r="B909" s="1310" t="s">
        <v>1196</v>
      </c>
      <c r="C909" s="2006"/>
      <c r="D909" s="2006"/>
      <c r="E909" s="2006"/>
      <c r="F909" s="2006"/>
      <c r="G909" s="66"/>
      <c r="H909" s="1308"/>
    </row>
    <row r="910" spans="2:8">
      <c r="B910" s="2110" t="s">
        <v>1199</v>
      </c>
      <c r="C910" s="2111"/>
      <c r="D910" s="2111"/>
      <c r="E910" s="2111"/>
      <c r="F910" s="2111"/>
      <c r="G910" s="2111"/>
      <c r="H910" s="2112"/>
    </row>
    <row r="911" spans="2:8">
      <c r="B911" s="2110"/>
      <c r="C911" s="2111"/>
      <c r="D911" s="2111"/>
      <c r="E911" s="2111"/>
      <c r="F911" s="2111"/>
      <c r="G911" s="2111"/>
      <c r="H911" s="2112"/>
    </row>
    <row r="912" spans="2:8" ht="10.95" customHeight="1">
      <c r="B912" s="2110"/>
      <c r="C912" s="2111"/>
      <c r="D912" s="2111"/>
      <c r="E912" s="2111"/>
      <c r="F912" s="2111"/>
      <c r="G912" s="2111"/>
      <c r="H912" s="2112"/>
    </row>
    <row r="913" spans="2:8" ht="18">
      <c r="B913" s="1249"/>
      <c r="C913" s="2009"/>
      <c r="D913" s="2009"/>
      <c r="E913" s="2009"/>
      <c r="F913" s="2009"/>
      <c r="G913" s="2009"/>
      <c r="H913" s="1423"/>
    </row>
    <row r="914" spans="2:8" ht="18">
      <c r="B914" s="1310" t="s">
        <v>2938</v>
      </c>
      <c r="C914" s="2009"/>
      <c r="D914" s="2009"/>
      <c r="E914" s="2009"/>
      <c r="F914" s="2009"/>
      <c r="G914" s="2009"/>
      <c r="H914" s="1423"/>
    </row>
    <row r="915" spans="2:8" ht="40.950000000000003" customHeight="1">
      <c r="B915" s="2110" t="s">
        <v>2939</v>
      </c>
      <c r="C915" s="2111"/>
      <c r="D915" s="2111"/>
      <c r="E915" s="2111"/>
      <c r="F915" s="2111"/>
      <c r="G915" s="2111"/>
      <c r="H915" s="2112"/>
    </row>
    <row r="916" spans="2:8" ht="18">
      <c r="B916" s="1249"/>
      <c r="C916" s="2009"/>
      <c r="D916" s="2009"/>
      <c r="E916" s="2009"/>
      <c r="F916" s="2009"/>
      <c r="G916" s="2009"/>
      <c r="H916" s="1423"/>
    </row>
    <row r="917" spans="2:8" ht="18">
      <c r="B917" s="1310" t="s">
        <v>2940</v>
      </c>
      <c r="C917" s="2009"/>
      <c r="D917" s="2009"/>
      <c r="E917" s="2009"/>
      <c r="F917" s="2009"/>
      <c r="G917" s="133"/>
      <c r="H917" s="1424"/>
    </row>
    <row r="918" spans="2:8" ht="18">
      <c r="B918" s="2110" t="s">
        <v>2788</v>
      </c>
      <c r="C918" s="2111"/>
      <c r="D918" s="2111"/>
      <c r="E918" s="2111"/>
      <c r="F918" s="2111"/>
      <c r="G918" s="2111"/>
      <c r="H918" s="2112"/>
    </row>
    <row r="919" spans="2:8" ht="18">
      <c r="B919" s="1249"/>
      <c r="C919" s="2009"/>
      <c r="D919" s="2009"/>
      <c r="E919" s="2009"/>
      <c r="F919" s="2009"/>
      <c r="G919" s="2009"/>
      <c r="H919" s="1423"/>
    </row>
    <row r="920" spans="2:8" ht="18">
      <c r="B920" s="1741" t="s">
        <v>3119</v>
      </c>
      <c r="C920" s="2009"/>
      <c r="D920" s="2009"/>
      <c r="E920" s="2009"/>
      <c r="F920" s="2009"/>
      <c r="G920" s="2009"/>
      <c r="H920" s="1423"/>
    </row>
    <row r="921" spans="2:8" ht="39" customHeight="1">
      <c r="B921" s="2110" t="s">
        <v>3118</v>
      </c>
      <c r="C921" s="2111"/>
      <c r="D921" s="2111"/>
      <c r="E921" s="2111"/>
      <c r="F921" s="2111"/>
      <c r="G921" s="2111"/>
      <c r="H921" s="2112"/>
    </row>
    <row r="922" spans="2:8" ht="18">
      <c r="B922" s="1249"/>
      <c r="C922" s="2009"/>
      <c r="D922" s="2009"/>
      <c r="E922" s="2009"/>
      <c r="F922" s="2009"/>
      <c r="G922" s="2009"/>
      <c r="H922" s="1423"/>
    </row>
    <row r="923" spans="2:8" ht="18">
      <c r="B923" s="1741" t="s">
        <v>3128</v>
      </c>
      <c r="C923" s="2009"/>
      <c r="D923" s="2009"/>
      <c r="E923" s="2009"/>
      <c r="F923" s="2009"/>
      <c r="G923" s="2009"/>
      <c r="H923" s="1423"/>
    </row>
    <row r="924" spans="2:8" ht="39" customHeight="1">
      <c r="B924" s="2110" t="s">
        <v>3129</v>
      </c>
      <c r="C924" s="2111"/>
      <c r="D924" s="2111"/>
      <c r="E924" s="2111"/>
      <c r="F924" s="2111"/>
      <c r="G924" s="2111"/>
      <c r="H924" s="2112"/>
    </row>
    <row r="925" spans="2:8" ht="18">
      <c r="B925" s="1249"/>
      <c r="C925" s="2009"/>
      <c r="D925" s="2009"/>
      <c r="E925" s="2009"/>
      <c r="F925" s="2009"/>
      <c r="G925" s="2009"/>
      <c r="H925" s="1423"/>
    </row>
    <row r="926" spans="2:8" ht="18">
      <c r="B926" s="1310" t="s">
        <v>3130</v>
      </c>
      <c r="C926" s="1999"/>
      <c r="D926" s="1999"/>
      <c r="E926" s="1958"/>
      <c r="F926" s="1958" t="s">
        <v>841</v>
      </c>
      <c r="G926" s="36"/>
      <c r="H926" s="1267"/>
    </row>
    <row r="927" spans="2:8" ht="18">
      <c r="B927" s="1425" t="s">
        <v>1200</v>
      </c>
      <c r="C927" s="1999"/>
      <c r="D927" s="1999"/>
      <c r="E927" s="1958"/>
      <c r="F927" s="1958"/>
      <c r="G927" s="36"/>
      <c r="H927" s="1267"/>
    </row>
    <row r="928" spans="2:8" ht="18">
      <c r="B928" s="1425"/>
      <c r="C928" s="1999"/>
      <c r="D928" s="1999"/>
      <c r="E928" s="1958"/>
      <c r="F928" s="1958"/>
      <c r="G928" s="36"/>
      <c r="H928" s="1267"/>
    </row>
    <row r="929" spans="2:17" ht="36">
      <c r="B929" s="1396" t="s">
        <v>532</v>
      </c>
      <c r="C929" s="1765"/>
      <c r="D929" s="1766"/>
      <c r="E929" s="2062" t="s">
        <v>3124</v>
      </c>
      <c r="F929" s="2063" t="s">
        <v>1201</v>
      </c>
      <c r="G929" s="2062" t="s">
        <v>3124</v>
      </c>
      <c r="H929" s="2067" t="s">
        <v>1201</v>
      </c>
    </row>
    <row r="930" spans="2:17" ht="18">
      <c r="B930" s="1834"/>
      <c r="C930" s="1767"/>
      <c r="D930" s="1768"/>
      <c r="E930" s="2064" t="s">
        <v>991</v>
      </c>
      <c r="F930" s="2065" t="s">
        <v>991</v>
      </c>
      <c r="G930" s="2064" t="s">
        <v>992</v>
      </c>
      <c r="H930" s="2066" t="s">
        <v>992</v>
      </c>
      <c r="K930" s="10" t="s">
        <v>2396</v>
      </c>
      <c r="L930" s="10" t="s">
        <v>2152</v>
      </c>
      <c r="M930" s="3" t="s">
        <v>2723</v>
      </c>
      <c r="N930" s="3" t="s">
        <v>2726</v>
      </c>
      <c r="O930" t="s">
        <v>2730</v>
      </c>
      <c r="P930" t="s">
        <v>2727</v>
      </c>
      <c r="Q930" t="s">
        <v>2728</v>
      </c>
    </row>
    <row r="931" spans="2:17" ht="35.4" customHeight="1">
      <c r="B931" s="2122" t="s">
        <v>1202</v>
      </c>
      <c r="C931" s="2123"/>
      <c r="D931" s="1730"/>
      <c r="E931" s="945">
        <v>0</v>
      </c>
      <c r="F931" s="21">
        <v>0</v>
      </c>
      <c r="G931" s="945">
        <v>0</v>
      </c>
      <c r="H931" s="1426">
        <v>0</v>
      </c>
      <c r="K931" s="3" t="s">
        <v>42</v>
      </c>
      <c r="L931" s="3">
        <f>+GETPIVOTDATA("Sum of Cr. Final 22-23",Pivot!$A$3,"PARTICULARS","Cellmark Netherlands B.V.","Note",17,"BS Main Head","Trade Payables","BS Sub Head","Trade Payables")</f>
        <v>3812089.3396249996</v>
      </c>
      <c r="M931" s="3">
        <v>264.95</v>
      </c>
      <c r="N931" s="3">
        <v>46366.25</v>
      </c>
      <c r="O931">
        <v>82.216899999999995</v>
      </c>
      <c r="P931" s="539">
        <f>+N931*O931</f>
        <v>3812089.3396249996</v>
      </c>
      <c r="Q931" s="467">
        <v>45019</v>
      </c>
    </row>
    <row r="932" spans="2:17" ht="18">
      <c r="B932" s="1229"/>
      <c r="C932" s="1999"/>
      <c r="D932" s="24"/>
      <c r="E932" s="945" t="s">
        <v>1203</v>
      </c>
      <c r="F932" s="21" t="s">
        <v>1203</v>
      </c>
      <c r="G932" s="945" t="s">
        <v>1203</v>
      </c>
      <c r="H932" s="1426" t="s">
        <v>1203</v>
      </c>
      <c r="K932" s="3" t="s">
        <v>41</v>
      </c>
      <c r="L932" s="3">
        <f>+GETPIVOTDATA("Sum of Cr. Final 22-23",Pivot!$A$3,"PARTICULARS","CANUSA HERSHMAN RECYCLING CO.","Note",17,"BS Main Head","Trade Payables","BS Sub Head","Trade Payables")</f>
        <v>1074019.0967559998</v>
      </c>
      <c r="M932" s="3" t="s">
        <v>2725</v>
      </c>
      <c r="N932" s="3">
        <f>4364.82+8698.42</f>
        <v>13063.24</v>
      </c>
      <c r="O932">
        <f>+O931</f>
        <v>82.216899999999995</v>
      </c>
      <c r="P932" s="539">
        <f t="shared" ref="P932:P934" si="19">+N932*O932</f>
        <v>1074019.0967559998</v>
      </c>
      <c r="Q932" s="467" t="s">
        <v>2729</v>
      </c>
    </row>
    <row r="933" spans="2:17" ht="18">
      <c r="B933" s="1229" t="s">
        <v>1204</v>
      </c>
      <c r="C933" s="1999"/>
      <c r="D933" s="24"/>
      <c r="E933" s="945">
        <f>+N935</f>
        <v>129052.79</v>
      </c>
      <c r="F933" s="21">
        <f>+P935</f>
        <v>10610320.330150999</v>
      </c>
      <c r="G933" s="945">
        <v>0</v>
      </c>
      <c r="H933" s="1426">
        <v>0</v>
      </c>
      <c r="K933" s="3" t="s">
        <v>537</v>
      </c>
      <c r="L933" s="3">
        <f>+GETPIVOTDATA("Sum of Cr. Final 22-23",Pivot!$A$3,"PARTICULARS","AMASHA LTD","Note",17,"BS Main Head","Trade Payables","BS Sub Head","Trade Payables")</f>
        <v>1997155.3829699999</v>
      </c>
      <c r="M933" s="3" t="s">
        <v>2724</v>
      </c>
      <c r="N933" s="3">
        <f>7738.5+16552.8</f>
        <v>24291.3</v>
      </c>
      <c r="O933">
        <f t="shared" ref="O933:O934" si="20">+O932</f>
        <v>82.216899999999995</v>
      </c>
      <c r="P933" s="539">
        <f t="shared" si="19"/>
        <v>1997155.3829699999</v>
      </c>
      <c r="Q933" s="467" t="s">
        <v>2729</v>
      </c>
    </row>
    <row r="934" spans="2:17" ht="18">
      <c r="B934" s="1834"/>
      <c r="C934" s="1767"/>
      <c r="D934" s="1768"/>
      <c r="E934" s="946" t="s">
        <v>1203</v>
      </c>
      <c r="F934" s="84" t="s">
        <v>1203</v>
      </c>
      <c r="G934" s="946" t="s">
        <v>1203</v>
      </c>
      <c r="H934" s="1427" t="s">
        <v>1203</v>
      </c>
      <c r="K934" s="3" t="s">
        <v>615</v>
      </c>
      <c r="L934" s="3">
        <f>+GETPIVOTDATA("Sum of Cr. Final 22-23",Pivot!$A$3,"PARTICULARS","REMONDIS TRADE &amp; SALES GMBH","Note",17,"BS Main Head","Trade Payables","BS Sub Head","Trade Payables")</f>
        <v>3727056.5107999998</v>
      </c>
      <c r="M934" s="3">
        <v>259.04000000000002</v>
      </c>
      <c r="N934" s="3">
        <f>259.04*175</f>
        <v>45332</v>
      </c>
      <c r="O934">
        <f t="shared" si="20"/>
        <v>82.216899999999995</v>
      </c>
      <c r="P934" s="539">
        <f t="shared" si="19"/>
        <v>3727056.5107999998</v>
      </c>
      <c r="Q934" s="467"/>
    </row>
    <row r="935" spans="2:17" ht="18">
      <c r="B935" s="1428"/>
      <c r="C935" s="1998"/>
      <c r="D935" s="1998"/>
      <c r="E935" s="1998"/>
      <c r="F935" s="1998"/>
      <c r="G935" s="134"/>
      <c r="H935" s="1429"/>
      <c r="L935" s="3">
        <f>SUM(L931:L934)</f>
        <v>10610320.330150999</v>
      </c>
      <c r="N935" s="3">
        <f>SUM(N931:N934)</f>
        <v>129052.79</v>
      </c>
      <c r="P935" s="539">
        <f>SUM(P931:P934)</f>
        <v>10610320.330150999</v>
      </c>
    </row>
    <row r="936" spans="2:17" ht="18">
      <c r="B936" s="1727" t="s">
        <v>3131</v>
      </c>
      <c r="C936" s="1998"/>
      <c r="D936" s="1998"/>
      <c r="E936" s="1998"/>
      <c r="F936" s="1998"/>
      <c r="G936" s="134"/>
      <c r="H936" s="1429"/>
      <c r="P936" s="539"/>
    </row>
    <row r="937" spans="2:17" ht="18">
      <c r="B937" s="1425" t="s">
        <v>3109</v>
      </c>
      <c r="C937" s="1998"/>
      <c r="D937" s="1998"/>
      <c r="E937" s="1998"/>
      <c r="F937" s="1998"/>
      <c r="G937" s="134"/>
      <c r="H937" s="1429"/>
      <c r="P937" s="539"/>
    </row>
    <row r="938" spans="2:17" ht="18">
      <c r="B938" s="1428"/>
      <c r="C938" s="1998"/>
      <c r="D938" s="1998"/>
      <c r="E938" s="1998"/>
      <c r="F938" s="1998"/>
      <c r="G938" s="134"/>
      <c r="H938" s="1429"/>
      <c r="P938" s="539"/>
    </row>
    <row r="939" spans="2:17" ht="18">
      <c r="B939" s="1287" t="s">
        <v>0</v>
      </c>
      <c r="C939" s="1288"/>
      <c r="D939" s="1288"/>
      <c r="E939" s="1289"/>
      <c r="F939" s="1289"/>
      <c r="G939" s="1237" t="s">
        <v>840</v>
      </c>
      <c r="H939" s="1736" t="s">
        <v>840</v>
      </c>
      <c r="P939" s="539"/>
    </row>
    <row r="940" spans="2:17" ht="18">
      <c r="B940" s="1269"/>
      <c r="C940" s="55"/>
      <c r="D940" s="55"/>
      <c r="E940" s="38"/>
      <c r="F940" s="38"/>
      <c r="G940" s="16" t="s">
        <v>789</v>
      </c>
      <c r="H940" s="1683" t="s">
        <v>790</v>
      </c>
      <c r="P940" s="539"/>
    </row>
    <row r="941" spans="2:17" ht="18">
      <c r="B941" s="1734" t="s">
        <v>3110</v>
      </c>
      <c r="C941" s="1733"/>
      <c r="D941" s="1733"/>
      <c r="E941" s="1733"/>
      <c r="F941" s="1733"/>
      <c r="G941" s="1737">
        <f>+'FINAL LIST OF SAL CAPITALISE22-'!R19+'FINAL LIST OF SAL CAPITALISE22-'!Q48</f>
        <v>2816004.5</v>
      </c>
      <c r="H941" s="1739">
        <v>0</v>
      </c>
      <c r="P941" s="539"/>
    </row>
    <row r="942" spans="2:17" ht="18">
      <c r="B942" s="1735" t="s">
        <v>3111</v>
      </c>
      <c r="C942" s="1998"/>
      <c r="D942" s="1998"/>
      <c r="E942" s="1998"/>
      <c r="F942" s="1998"/>
      <c r="G942" s="1738">
        <f>+'FINAL LIST OF SAL CAPITALISE22-'!R30</f>
        <v>4690524.25</v>
      </c>
      <c r="H942" s="1740">
        <v>0</v>
      </c>
      <c r="P942" s="539"/>
    </row>
    <row r="943" spans="2:17" ht="18">
      <c r="B943" s="1735" t="s">
        <v>3112</v>
      </c>
      <c r="C943" s="1998"/>
      <c r="D943" s="1998"/>
      <c r="E943" s="1998"/>
      <c r="F943" s="1998"/>
      <c r="G943" s="1738">
        <f>+'FINAL LIST OF SAL CAPITALISE22-'!R25</f>
        <v>1728000</v>
      </c>
      <c r="H943" s="1740">
        <v>0</v>
      </c>
      <c r="P943" s="539"/>
    </row>
    <row r="944" spans="2:17" ht="18">
      <c r="B944" s="1735" t="s">
        <v>3113</v>
      </c>
      <c r="C944" s="1998"/>
      <c r="D944" s="1998"/>
      <c r="E944" s="1998"/>
      <c r="F944" s="1998"/>
      <c r="G944" s="1738">
        <f>+'FINAL LIST OF SAL CAPITALISE22-'!D58+7145896</f>
        <v>7827242.6799999997</v>
      </c>
      <c r="H944" s="1740">
        <v>589158</v>
      </c>
      <c r="P944" s="539"/>
    </row>
    <row r="945" spans="2:16" ht="18.600000000000001" thickBot="1">
      <c r="B945" s="2010" t="s">
        <v>911</v>
      </c>
      <c r="C945" s="2011"/>
      <c r="D945" s="2011"/>
      <c r="E945" s="2011"/>
      <c r="F945" s="2011"/>
      <c r="G945" s="2012">
        <f>SUM(G941:G944)</f>
        <v>17061771.43</v>
      </c>
      <c r="H945" s="2013">
        <f>SUM(H941:H944)</f>
        <v>589158</v>
      </c>
      <c r="P945" s="539"/>
    </row>
    <row r="946" spans="2:16" ht="18">
      <c r="B946" s="2102" t="s">
        <v>785</v>
      </c>
      <c r="C946" s="2103"/>
      <c r="D946" s="2103"/>
      <c r="E946" s="2103"/>
      <c r="F946" s="2103"/>
      <c r="G946" s="2103"/>
      <c r="H946" s="2104"/>
      <c r="P946" s="539"/>
    </row>
    <row r="947" spans="2:16" ht="18">
      <c r="B947" s="2124" t="s">
        <v>2241</v>
      </c>
      <c r="C947" s="2125"/>
      <c r="D947" s="2125"/>
      <c r="E947" s="2125"/>
      <c r="F947" s="2125"/>
      <c r="G947" s="2125"/>
      <c r="H947" s="2126"/>
      <c r="P947" s="539"/>
    </row>
    <row r="948" spans="2:16" ht="18">
      <c r="B948" s="1757"/>
      <c r="C948" s="1998"/>
      <c r="D948" s="1998"/>
      <c r="E948" s="1998"/>
      <c r="F948" s="1998"/>
      <c r="G948" s="1758"/>
      <c r="H948" s="1759"/>
      <c r="P948" s="539"/>
    </row>
    <row r="949" spans="2:16" ht="18">
      <c r="B949" s="1727" t="s">
        <v>3132</v>
      </c>
      <c r="C949" s="1998"/>
      <c r="D949" s="1998"/>
      <c r="E949" s="1998"/>
      <c r="F949" s="1998"/>
      <c r="G949" s="1758"/>
      <c r="H949" s="1759"/>
      <c r="P949" s="539"/>
    </row>
    <row r="950" spans="2:16" s="641" customFormat="1" ht="36">
      <c r="B950" s="1835" t="s">
        <v>3120</v>
      </c>
      <c r="C950" s="1772">
        <v>45016</v>
      </c>
      <c r="D950" s="1772">
        <v>44651</v>
      </c>
      <c r="E950" s="1773" t="s">
        <v>3055</v>
      </c>
      <c r="F950" s="1774" t="s">
        <v>3056</v>
      </c>
      <c r="G950" s="1773" t="s">
        <v>2972</v>
      </c>
      <c r="H950" s="1836" t="s">
        <v>2974</v>
      </c>
      <c r="I950" s="1763"/>
      <c r="K950" s="451"/>
      <c r="L950" s="451"/>
      <c r="M950" s="451"/>
      <c r="N950" s="451"/>
      <c r="P950" s="1764"/>
    </row>
    <row r="951" spans="2:16" ht="18">
      <c r="B951" s="1837"/>
      <c r="C951" s="1776"/>
      <c r="D951" s="1777"/>
      <c r="E951" s="1778"/>
      <c r="F951" s="1779"/>
      <c r="G951" s="1775"/>
      <c r="H951" s="1838"/>
      <c r="P951" s="539"/>
    </row>
    <row r="952" spans="2:16" ht="72">
      <c r="B952" s="1839" t="s">
        <v>2975</v>
      </c>
      <c r="C952" s="1780">
        <f>+'Ratio Analysis'!J7</f>
        <v>0.96353768576759735</v>
      </c>
      <c r="D952" s="1781">
        <f>+'Ratio Analysis'!K7</f>
        <v>1.3252690905607409</v>
      </c>
      <c r="E952" s="1782">
        <f>+(D952-C952)/D952</f>
        <v>0.27294940127222744</v>
      </c>
      <c r="F952" s="1783" t="s">
        <v>3115</v>
      </c>
      <c r="G952" s="1808" t="s">
        <v>2183</v>
      </c>
      <c r="H952" s="1840" t="s">
        <v>2184</v>
      </c>
      <c r="P952" s="539"/>
    </row>
    <row r="953" spans="2:16" ht="18">
      <c r="B953" s="1841"/>
      <c r="C953" s="1784"/>
      <c r="D953" s="1778"/>
      <c r="E953" s="1785"/>
      <c r="F953" s="1779"/>
      <c r="G953" s="1808"/>
      <c r="H953" s="1840"/>
      <c r="P953" s="539"/>
    </row>
    <row r="954" spans="2:16" ht="72">
      <c r="B954" s="1839" t="s">
        <v>2990</v>
      </c>
      <c r="C954" s="1780">
        <f>+'Ratio Analysis'!J19</f>
        <v>1.3694811129557956</v>
      </c>
      <c r="D954" s="1780">
        <f>+'Ratio Analysis'!K19</f>
        <v>0.86335345048413903</v>
      </c>
      <c r="E954" s="1782">
        <f>+(D954-C954)/D954</f>
        <v>-0.58623459741527351</v>
      </c>
      <c r="F954" s="1786" t="s">
        <v>3116</v>
      </c>
      <c r="G954" s="1808" t="s">
        <v>2991</v>
      </c>
      <c r="H954" s="1840" t="s">
        <v>2992</v>
      </c>
      <c r="P954" s="539"/>
    </row>
    <row r="955" spans="2:16" ht="18">
      <c r="B955" s="1839"/>
      <c r="C955" s="1787"/>
      <c r="D955" s="1778"/>
      <c r="E955" s="1785"/>
      <c r="F955" s="1779"/>
      <c r="G955" s="1808"/>
      <c r="H955" s="1840"/>
      <c r="P955" s="539"/>
    </row>
    <row r="956" spans="2:16" ht="18">
      <c r="B956" s="1839"/>
      <c r="C956" s="1784"/>
      <c r="D956" s="1778"/>
      <c r="E956" s="1785"/>
      <c r="F956" s="1779"/>
      <c r="G956" s="1808"/>
      <c r="H956" s="1840"/>
      <c r="P956" s="539"/>
    </row>
    <row r="957" spans="2:16" ht="54">
      <c r="B957" s="1839" t="s">
        <v>2995</v>
      </c>
      <c r="C957" s="1780">
        <f>+'Ratio Analysis'!J23</f>
        <v>-0.94359742436735006</v>
      </c>
      <c r="D957" s="1780">
        <f>+'Ratio Analysis'!K23</f>
        <v>4.611603533552759</v>
      </c>
      <c r="E957" s="1782">
        <f>+(D957-C957)/D957</f>
        <v>1.2046137352228989</v>
      </c>
      <c r="F957" s="1783" t="s">
        <v>3117</v>
      </c>
      <c r="G957" s="1808" t="s">
        <v>2996</v>
      </c>
      <c r="H957" s="1840" t="s">
        <v>2997</v>
      </c>
      <c r="P957" s="539"/>
    </row>
    <row r="958" spans="2:16" ht="18">
      <c r="B958" s="1839"/>
      <c r="C958" s="1787"/>
      <c r="D958" s="1778"/>
      <c r="E958" s="1785"/>
      <c r="F958" s="1779"/>
      <c r="G958" s="1808"/>
      <c r="H958" s="1840"/>
      <c r="P958" s="539"/>
    </row>
    <row r="959" spans="2:16" ht="54">
      <c r="B959" s="1839" t="s">
        <v>3001</v>
      </c>
      <c r="C959" s="1788">
        <f>+'Ratio Analysis'!J27</f>
        <v>-0.14820010927745036</v>
      </c>
      <c r="D959" s="1788">
        <f>+'Ratio Analysis'!K27</f>
        <v>1.4127997271611896E-2</v>
      </c>
      <c r="E959" s="1782">
        <f>+(D959-C959)/D959</f>
        <v>11.489817235117705</v>
      </c>
      <c r="F959" s="1783" t="s">
        <v>3117</v>
      </c>
      <c r="G959" s="1808" t="s">
        <v>3002</v>
      </c>
      <c r="H959" s="1840" t="s">
        <v>3003</v>
      </c>
      <c r="P959" s="539"/>
    </row>
    <row r="960" spans="2:16" ht="18">
      <c r="B960" s="1839"/>
      <c r="C960" s="1784"/>
      <c r="D960" s="1778"/>
      <c r="E960" s="1785"/>
      <c r="F960" s="1779"/>
      <c r="G960" s="1808"/>
      <c r="H960" s="1840"/>
      <c r="P960" s="539"/>
    </row>
    <row r="961" spans="2:16" ht="18">
      <c r="B961" s="1839" t="s">
        <v>3006</v>
      </c>
      <c r="C961" s="1780">
        <f>+'Ratio Analysis'!J32</f>
        <v>28.083283549137033</v>
      </c>
      <c r="D961" s="1780">
        <f>+'Ratio Analysis'!K32</f>
        <v>26.483116961073108</v>
      </c>
      <c r="E961" s="1782">
        <f>+(D961-C961)/D961</f>
        <v>-6.0422139524436286E-2</v>
      </c>
      <c r="F961" s="1789">
        <v>0</v>
      </c>
      <c r="G961" s="1808" t="s">
        <v>3007</v>
      </c>
      <c r="H961" s="1840" t="s">
        <v>3008</v>
      </c>
      <c r="P961" s="539"/>
    </row>
    <row r="962" spans="2:16" ht="18">
      <c r="B962" s="1839"/>
      <c r="C962" s="1784"/>
      <c r="D962" s="1778"/>
      <c r="E962" s="1785"/>
      <c r="F962" s="1789"/>
      <c r="G962" s="1808"/>
      <c r="H962" s="1840"/>
      <c r="P962" s="539"/>
    </row>
    <row r="963" spans="2:16" ht="18">
      <c r="B963" s="1839" t="s">
        <v>3011</v>
      </c>
      <c r="C963" s="1780">
        <f>+'Ratio Analysis'!J36</f>
        <v>7.4538102120260907</v>
      </c>
      <c r="D963" s="1780">
        <f>+'Ratio Analysis'!K36</f>
        <v>6.9746814306236669</v>
      </c>
      <c r="E963" s="1782">
        <f>+(D963-C963)/D963</f>
        <v>-6.8695435937578125E-2</v>
      </c>
      <c r="F963" s="1789">
        <v>0</v>
      </c>
      <c r="G963" s="1808" t="s">
        <v>3012</v>
      </c>
      <c r="H963" s="1840" t="s">
        <v>3013</v>
      </c>
      <c r="P963" s="539"/>
    </row>
    <row r="964" spans="2:16" ht="18">
      <c r="B964" s="1839"/>
      <c r="C964" s="1784"/>
      <c r="D964" s="1778"/>
      <c r="E964" s="1785"/>
      <c r="F964" s="1789"/>
      <c r="G964" s="1808"/>
      <c r="H964" s="1840"/>
      <c r="P964" s="539"/>
    </row>
    <row r="965" spans="2:16" ht="18">
      <c r="B965" s="1839" t="s">
        <v>3017</v>
      </c>
      <c r="C965" s="1780">
        <f>+'Ratio Analysis'!J40</f>
        <v>9.2333545491752176</v>
      </c>
      <c r="D965" s="1780">
        <f>+'Ratio Analysis'!K40</f>
        <v>10.162283695540484</v>
      </c>
      <c r="E965" s="1782">
        <f>+(D965-C965)/D965</f>
        <v>9.1409487689554342E-2</v>
      </c>
      <c r="F965" s="1789">
        <v>0</v>
      </c>
      <c r="G965" s="1808" t="s">
        <v>3018</v>
      </c>
      <c r="H965" s="1840" t="s">
        <v>3019</v>
      </c>
      <c r="P965" s="539"/>
    </row>
    <row r="966" spans="2:16" ht="18">
      <c r="B966" s="1839"/>
      <c r="C966" s="1784"/>
      <c r="D966" s="1778"/>
      <c r="E966" s="1785"/>
      <c r="F966" s="1779"/>
      <c r="G966" s="1808"/>
      <c r="H966" s="1840"/>
      <c r="P966" s="539"/>
    </row>
    <row r="967" spans="2:16" ht="72">
      <c r="B967" s="1839" t="s">
        <v>3022</v>
      </c>
      <c r="C967" s="1780">
        <f>+'Ratio Analysis'!J44</f>
        <v>-141.7559294491187</v>
      </c>
      <c r="D967" s="1780">
        <f>+'Ratio Analysis'!K44</f>
        <v>19.668364081255042</v>
      </c>
      <c r="E967" s="1782">
        <f>+(D967-C967)/D967</f>
        <v>8.2073065590757164</v>
      </c>
      <c r="F967" s="1783" t="s">
        <v>3115</v>
      </c>
      <c r="G967" s="1808" t="s">
        <v>3023</v>
      </c>
      <c r="H967" s="1840" t="s">
        <v>3024</v>
      </c>
      <c r="P967" s="539"/>
    </row>
    <row r="968" spans="2:16" ht="18">
      <c r="B968" s="1839"/>
      <c r="C968" s="1784"/>
      <c r="D968" s="1790"/>
      <c r="E968" s="1785"/>
      <c r="F968" s="1779"/>
      <c r="G968" s="1808"/>
      <c r="H968" s="1840"/>
      <c r="P968" s="539"/>
    </row>
    <row r="969" spans="2:16" ht="54">
      <c r="B969" s="1839" t="s">
        <v>3027</v>
      </c>
      <c r="C969" s="1788">
        <f>+'Ratio Analysis'!J48</f>
        <v>-3.5853883127235114E-2</v>
      </c>
      <c r="D969" s="1788">
        <f>+'Ratio Analysis'!K48</f>
        <v>3.4032168903900557E-3</v>
      </c>
      <c r="E969" s="1782">
        <f>+(D969-C969)/D969</f>
        <v>11.535291837695882</v>
      </c>
      <c r="F969" s="1783" t="s">
        <v>3117</v>
      </c>
      <c r="G969" s="1808" t="s">
        <v>3028</v>
      </c>
      <c r="H969" s="1840" t="s">
        <v>3023</v>
      </c>
      <c r="P969" s="539"/>
    </row>
    <row r="970" spans="2:16" ht="18">
      <c r="B970" s="1839"/>
      <c r="C970" s="1784"/>
      <c r="D970" s="1790"/>
      <c r="E970" s="1785"/>
      <c r="F970" s="1779"/>
      <c r="G970" s="1808"/>
      <c r="H970" s="1840"/>
      <c r="P970" s="539"/>
    </row>
    <row r="971" spans="2:16" ht="54">
      <c r="B971" s="1842" t="s">
        <v>3030</v>
      </c>
      <c r="C971" s="1800">
        <f>+'Ratio Analysis'!J52</f>
        <v>-0.11613773712339166</v>
      </c>
      <c r="D971" s="1800">
        <f>+'Ratio Analysis'!K52</f>
        <v>3.2152073413616998E-2</v>
      </c>
      <c r="E971" s="1801">
        <f>+(D971-C971)/D971</f>
        <v>4.6121383411063368</v>
      </c>
      <c r="F971" s="1802" t="s">
        <v>3117</v>
      </c>
      <c r="G971" s="1809" t="s">
        <v>3031</v>
      </c>
      <c r="H971" s="1843" t="s">
        <v>3122</v>
      </c>
      <c r="P971" s="539"/>
    </row>
    <row r="972" spans="2:16" ht="18">
      <c r="B972" s="1844"/>
      <c r="C972" s="1803"/>
      <c r="D972" s="1804"/>
      <c r="E972" s="1805"/>
      <c r="F972" s="1805"/>
      <c r="G972" s="1806"/>
      <c r="H972" s="1807"/>
      <c r="P972" s="539"/>
    </row>
    <row r="973" spans="2:16" ht="18">
      <c r="B973" s="1310" t="s">
        <v>3133</v>
      </c>
      <c r="C973" s="1999"/>
      <c r="D973" s="1999"/>
      <c r="E973" s="1958"/>
      <c r="F973" s="1958"/>
      <c r="G973" s="36"/>
      <c r="H973" s="1267"/>
    </row>
    <row r="974" spans="2:16" ht="18">
      <c r="B974" s="1400" t="s">
        <v>1205</v>
      </c>
      <c r="C974" s="2000"/>
      <c r="D974" s="2000"/>
      <c r="E974" s="2000"/>
      <c r="F974" s="2000"/>
      <c r="G974" s="135"/>
      <c r="H974" s="1430"/>
    </row>
    <row r="975" spans="2:16" ht="18">
      <c r="B975" s="1256"/>
      <c r="C975" s="1999"/>
      <c r="D975" s="1999"/>
      <c r="E975" s="2001"/>
      <c r="F975" s="2001"/>
      <c r="G975" s="30"/>
      <c r="H975" s="1264"/>
    </row>
    <row r="976" spans="2:16" ht="18">
      <c r="B976" s="1222" t="s">
        <v>823</v>
      </c>
      <c r="C976" s="1223"/>
      <c r="D976" s="1223"/>
      <c r="E976" s="1959" t="s">
        <v>824</v>
      </c>
      <c r="F976" s="1959"/>
      <c r="G976" s="31"/>
      <c r="H976" s="1265"/>
    </row>
    <row r="977" spans="2:8" ht="18">
      <c r="B977" s="1222"/>
      <c r="C977" s="1223"/>
      <c r="D977" s="1223"/>
      <c r="E977" s="1959"/>
      <c r="F977" s="1959"/>
      <c r="G977" s="31"/>
      <c r="H977" s="1265"/>
    </row>
    <row r="978" spans="2:8" ht="18">
      <c r="B978" s="1225" t="s">
        <v>825</v>
      </c>
      <c r="C978" s="1999"/>
      <c r="D978" s="1999"/>
      <c r="E978" s="1958" t="str">
        <f>+F51</f>
        <v>ANIL KUMAR LAKHOTIYA - MANAGING  DIRECTOR</v>
      </c>
      <c r="F978" s="1959"/>
      <c r="G978" s="31"/>
      <c r="H978" s="1265"/>
    </row>
    <row r="979" spans="2:8" ht="18">
      <c r="B979" s="1225" t="s">
        <v>827</v>
      </c>
      <c r="C979" s="1226"/>
      <c r="D979" s="1226"/>
      <c r="E979" s="1959" t="str">
        <f>+F52</f>
        <v>(DIN:00367361)</v>
      </c>
      <c r="F979" s="1959"/>
      <c r="G979" s="31"/>
      <c r="H979" s="1265"/>
    </row>
    <row r="980" spans="2:8" ht="18">
      <c r="B980" s="1225" t="s">
        <v>1206</v>
      </c>
      <c r="C980" s="1226"/>
      <c r="D980" s="1226"/>
      <c r="E980" s="1959"/>
      <c r="F980" s="1959"/>
      <c r="G980" s="31"/>
      <c r="H980" s="1265"/>
    </row>
    <row r="981" spans="2:8" ht="18">
      <c r="B981" s="1225"/>
      <c r="C981" s="1999"/>
      <c r="D981" s="1999"/>
      <c r="E981" s="2002"/>
      <c r="F981" s="2002"/>
      <c r="G981" s="33"/>
      <c r="H981" s="1266"/>
    </row>
    <row r="982" spans="2:8" ht="18">
      <c r="B982" s="1297"/>
      <c r="C982" s="1226"/>
      <c r="D982" s="1226"/>
      <c r="E982" s="1959"/>
      <c r="F982" s="1999"/>
      <c r="G982" s="31"/>
      <c r="H982" s="1265"/>
    </row>
    <row r="983" spans="2:8" ht="18">
      <c r="B983" s="1297"/>
      <c r="C983" s="1226"/>
      <c r="D983" s="1226"/>
      <c r="E983" s="1958" t="str">
        <f>+F56</f>
        <v>KAILASH AGARWAL - WHOLE TIME DIRECTOR</v>
      </c>
      <c r="F983" s="1999"/>
      <c r="G983" s="31"/>
      <c r="H983" s="1265"/>
    </row>
    <row r="984" spans="2:8" ht="18">
      <c r="B984" s="1225" t="s">
        <v>2781</v>
      </c>
      <c r="C984" s="1226"/>
      <c r="D984" s="1226"/>
      <c r="E984" s="1959" t="str">
        <f>+F57</f>
        <v>(DIN:00367292)</v>
      </c>
      <c r="F984" s="1999"/>
      <c r="G984" s="31"/>
      <c r="H984" s="1265"/>
    </row>
    <row r="985" spans="2:8" ht="18">
      <c r="B985" s="1225" t="s">
        <v>832</v>
      </c>
      <c r="C985" s="1226"/>
      <c r="D985" s="1226"/>
      <c r="E985" s="2002"/>
      <c r="F985" s="2002"/>
      <c r="G985" s="33"/>
      <c r="H985" s="1266"/>
    </row>
    <row r="986" spans="2:8" ht="18">
      <c r="B986" s="1225" t="s">
        <v>2785</v>
      </c>
      <c r="C986" s="34"/>
      <c r="D986" s="34"/>
      <c r="E986" s="2002"/>
      <c r="F986" s="1999"/>
      <c r="G986" s="31"/>
      <c r="H986" s="1265"/>
    </row>
    <row r="987" spans="2:8" ht="18">
      <c r="B987" s="1229" t="str">
        <f>+B206</f>
        <v>Date: 27/05/2023</v>
      </c>
      <c r="C987" s="35"/>
      <c r="D987" s="35"/>
      <c r="E987" s="2002"/>
      <c r="F987" s="1959"/>
      <c r="G987" s="31"/>
      <c r="H987" s="1265"/>
    </row>
    <row r="988" spans="2:8" ht="18">
      <c r="B988" s="1229" t="s">
        <v>834</v>
      </c>
      <c r="C988" s="35"/>
      <c r="D988" s="35"/>
      <c r="E988" s="1958" t="str">
        <f>+F60</f>
        <v>JARNAIL SINGH SAINI - CHIEF FINANCIAL OFFICER &amp; EXECUTIVE DIRECTOR</v>
      </c>
      <c r="F988" s="1959"/>
      <c r="G988" s="31"/>
      <c r="H988" s="1265"/>
    </row>
    <row r="989" spans="2:8" ht="18">
      <c r="B989" s="1229" t="str">
        <f>+B130</f>
        <v>UDIN: 23141902BGXWON4071</v>
      </c>
      <c r="C989" s="35"/>
      <c r="D989" s="35"/>
      <c r="E989" s="1959" t="str">
        <f>+F61</f>
        <v>(DIN:00367656)</v>
      </c>
      <c r="F989" s="2002"/>
      <c r="G989" s="33"/>
      <c r="H989" s="1266"/>
    </row>
    <row r="990" spans="2:8" ht="18">
      <c r="B990" s="1229"/>
      <c r="C990" s="35"/>
      <c r="D990" s="35"/>
      <c r="E990" s="2002"/>
      <c r="F990" s="1999"/>
      <c r="G990" s="31"/>
      <c r="H990" s="1265"/>
    </row>
    <row r="991" spans="2:8" ht="18">
      <c r="B991" s="1225"/>
      <c r="C991" s="35"/>
      <c r="D991" s="35"/>
      <c r="E991" s="2002"/>
      <c r="F991" s="1999"/>
      <c r="G991" s="31"/>
      <c r="H991" s="1265"/>
    </row>
    <row r="992" spans="2:8" ht="18">
      <c r="B992" s="1225"/>
      <c r="C992" s="35"/>
      <c r="D992" s="35"/>
      <c r="E992" s="2002"/>
      <c r="F992" s="1999"/>
      <c r="G992" s="31"/>
      <c r="H992" s="1265"/>
    </row>
    <row r="993" spans="2:8" ht="18">
      <c r="B993" s="1225"/>
      <c r="C993" s="35"/>
      <c r="D993" s="35"/>
      <c r="E993" s="1958" t="str">
        <f>+F65</f>
        <v>OMPRAKASH RATHI - WHOLE TIME DIRECTOR</v>
      </c>
      <c r="F993" s="2002"/>
      <c r="G993" s="33"/>
      <c r="H993" s="1266"/>
    </row>
    <row r="994" spans="2:8" ht="18">
      <c r="B994" s="1225"/>
      <c r="C994" s="35"/>
      <c r="D994" s="35"/>
      <c r="E994" s="1959" t="str">
        <f>+F66</f>
        <v>(DIN:00895316)</v>
      </c>
      <c r="F994" s="2003"/>
      <c r="G994" s="37"/>
      <c r="H994" s="1268"/>
    </row>
    <row r="995" spans="2:8" ht="18">
      <c r="B995" s="1225"/>
      <c r="C995" s="35"/>
      <c r="D995" s="35"/>
      <c r="E995" s="2002"/>
      <c r="F995" s="2003"/>
      <c r="G995" s="37"/>
      <c r="H995" s="1268"/>
    </row>
    <row r="996" spans="2:8" ht="18">
      <c r="B996" s="1225"/>
      <c r="C996" s="35"/>
      <c r="D996" s="35"/>
      <c r="E996" s="2002"/>
      <c r="F996" s="2003"/>
      <c r="G996" s="37"/>
      <c r="H996" s="1268"/>
    </row>
    <row r="997" spans="2:8" ht="18">
      <c r="B997" s="1225"/>
      <c r="C997" s="35"/>
      <c r="D997" s="35"/>
      <c r="E997" s="2002"/>
      <c r="F997" s="2003"/>
      <c r="G997" s="37"/>
      <c r="H997" s="1268"/>
    </row>
    <row r="998" spans="2:8" ht="18">
      <c r="B998" s="1225"/>
      <c r="C998" s="35"/>
      <c r="D998" s="35"/>
      <c r="E998" s="1958" t="str">
        <f>+F70</f>
        <v>MAYANK LUNIYA - COMPANY SECRETARY</v>
      </c>
      <c r="F998" s="2002"/>
      <c r="G998" s="33"/>
      <c r="H998" s="1266"/>
    </row>
    <row r="999" spans="2:8" ht="18">
      <c r="B999" s="1225"/>
      <c r="C999" s="35"/>
      <c r="D999" s="35"/>
      <c r="E999" s="1959"/>
      <c r="F999" s="2003"/>
      <c r="G999" s="37"/>
      <c r="H999" s="1268"/>
    </row>
    <row r="1000" spans="2:8" ht="18">
      <c r="B1000" s="1225"/>
      <c r="C1000" s="35"/>
      <c r="D1000" s="35"/>
      <c r="E1000" s="1959" t="str">
        <f>+F71</f>
        <v>Place: Nagpur</v>
      </c>
      <c r="F1000" s="2003"/>
      <c r="G1000" s="37"/>
      <c r="H1000" s="1268"/>
    </row>
    <row r="1001" spans="2:8" ht="18.600000000000001" thickBot="1">
      <c r="B1001" s="1431"/>
      <c r="C1001" s="1432"/>
      <c r="D1001" s="1432"/>
      <c r="E1001" s="1433" t="s">
        <v>2969</v>
      </c>
      <c r="F1001" s="1434"/>
      <c r="G1001" s="1435"/>
      <c r="H1001" s="1436"/>
    </row>
  </sheetData>
  <mergeCells count="150">
    <mergeCell ref="B946:H946"/>
    <mergeCell ref="B947:H947"/>
    <mergeCell ref="C257:H257"/>
    <mergeCell ref="C350:D350"/>
    <mergeCell ref="C351:D351"/>
    <mergeCell ref="C353:D353"/>
    <mergeCell ref="C352:D352"/>
    <mergeCell ref="C354:D354"/>
    <mergeCell ref="C355:D355"/>
    <mergeCell ref="C258:D258"/>
    <mergeCell ref="B319:F319"/>
    <mergeCell ref="B325:H325"/>
    <mergeCell ref="B327:F327"/>
    <mergeCell ref="B329:H332"/>
    <mergeCell ref="B368:F368"/>
    <mergeCell ref="B309:C310"/>
    <mergeCell ref="B380:H380"/>
    <mergeCell ref="B381:H381"/>
    <mergeCell ref="B268:H268"/>
    <mergeCell ref="B269:H269"/>
    <mergeCell ref="B333:H333"/>
    <mergeCell ref="B334:H334"/>
    <mergeCell ref="B305:F306"/>
    <mergeCell ref="C338:D338"/>
    <mergeCell ref="C251:D251"/>
    <mergeCell ref="C252:D252"/>
    <mergeCell ref="C253:D253"/>
    <mergeCell ref="C254:D254"/>
    <mergeCell ref="C255:D255"/>
    <mergeCell ref="C259:D259"/>
    <mergeCell ref="C260:D260"/>
    <mergeCell ref="C261:D261"/>
    <mergeCell ref="C262:D262"/>
    <mergeCell ref="M317:N317"/>
    <mergeCell ref="B74:H74"/>
    <mergeCell ref="F75:F76"/>
    <mergeCell ref="B86:C86"/>
    <mergeCell ref="B90:C90"/>
    <mergeCell ref="B100:C100"/>
    <mergeCell ref="B101:C101"/>
    <mergeCell ref="B217:H217"/>
    <mergeCell ref="B218:H218"/>
    <mergeCell ref="B224:F224"/>
    <mergeCell ref="B265:H267"/>
    <mergeCell ref="B280:C280"/>
    <mergeCell ref="B281:F281"/>
    <mergeCell ref="B257:B258"/>
    <mergeCell ref="B264:H264"/>
    <mergeCell ref="M310:N311"/>
    <mergeCell ref="M312:N312"/>
    <mergeCell ref="M313:N313"/>
    <mergeCell ref="M314:N314"/>
    <mergeCell ref="M315:N315"/>
    <mergeCell ref="M316:N316"/>
    <mergeCell ref="B225:F225"/>
    <mergeCell ref="B250:B251"/>
    <mergeCell ref="C250:H250"/>
    <mergeCell ref="B2:H2"/>
    <mergeCell ref="B3:H3"/>
    <mergeCell ref="F4:F5"/>
    <mergeCell ref="F8:F9"/>
    <mergeCell ref="F60:H60"/>
    <mergeCell ref="B73:H73"/>
    <mergeCell ref="B139:H139"/>
    <mergeCell ref="F205:H205"/>
    <mergeCell ref="F206:H206"/>
    <mergeCell ref="B107:E107"/>
    <mergeCell ref="B109:C109"/>
    <mergeCell ref="B110:C110"/>
    <mergeCell ref="F126:H126"/>
    <mergeCell ref="F127:H127"/>
    <mergeCell ref="B138:H138"/>
    <mergeCell ref="C339:D339"/>
    <mergeCell ref="C340:D340"/>
    <mergeCell ref="C341:D341"/>
    <mergeCell ref="C342:D342"/>
    <mergeCell ref="C343:D343"/>
    <mergeCell ref="C344:D344"/>
    <mergeCell ref="C345:D345"/>
    <mergeCell ref="C348:D348"/>
    <mergeCell ref="C349:D349"/>
    <mergeCell ref="B389:E389"/>
    <mergeCell ref="B413:F414"/>
    <mergeCell ref="B421:H423"/>
    <mergeCell ref="B431:B432"/>
    <mergeCell ref="B369:F369"/>
    <mergeCell ref="B370:F370"/>
    <mergeCell ref="B373:F373"/>
    <mergeCell ref="B374:F374"/>
    <mergeCell ref="B424:C425"/>
    <mergeCell ref="C431:C432"/>
    <mergeCell ref="D424:H424"/>
    <mergeCell ref="D431:H431"/>
    <mergeCell ref="B446:H446"/>
    <mergeCell ref="B447:H447"/>
    <mergeCell ref="B445:F445"/>
    <mergeCell ref="B515:H515"/>
    <mergeCell ref="B516:H516"/>
    <mergeCell ref="B572:H572"/>
    <mergeCell ref="B438:F438"/>
    <mergeCell ref="B439:F439"/>
    <mergeCell ref="B440:F440"/>
    <mergeCell ref="B442:F442"/>
    <mergeCell ref="B443:F443"/>
    <mergeCell ref="B444:F444"/>
    <mergeCell ref="B645:H645"/>
    <mergeCell ref="B647:H647"/>
    <mergeCell ref="B650:H650"/>
    <mergeCell ref="B652:H652"/>
    <mergeCell ref="B653:H653"/>
    <mergeCell ref="B654:H654"/>
    <mergeCell ref="B573:H573"/>
    <mergeCell ref="B568:F568"/>
    <mergeCell ref="B593:F593"/>
    <mergeCell ref="B623:H623"/>
    <mergeCell ref="B624:H624"/>
    <mergeCell ref="B643:F643"/>
    <mergeCell ref="B671:H671"/>
    <mergeCell ref="B672:H672"/>
    <mergeCell ref="B673:H673"/>
    <mergeCell ref="B674:H674"/>
    <mergeCell ref="B655:H655"/>
    <mergeCell ref="B656:H656"/>
    <mergeCell ref="B657:H657"/>
    <mergeCell ref="B658:H658"/>
    <mergeCell ref="B660:H660"/>
    <mergeCell ref="B666:F666"/>
    <mergeCell ref="B667:H667"/>
    <mergeCell ref="B668:H668"/>
    <mergeCell ref="B734:H734"/>
    <mergeCell ref="B794:H794"/>
    <mergeCell ref="B795:H795"/>
    <mergeCell ref="B870:H870"/>
    <mergeCell ref="B681:F681"/>
    <mergeCell ref="B723:H727"/>
    <mergeCell ref="B729:H732"/>
    <mergeCell ref="B733:H733"/>
    <mergeCell ref="B931:C931"/>
    <mergeCell ref="B910:H912"/>
    <mergeCell ref="B918:H918"/>
    <mergeCell ref="B871:H871"/>
    <mergeCell ref="B890:F890"/>
    <mergeCell ref="B898:F898"/>
    <mergeCell ref="B904:H904"/>
    <mergeCell ref="B907:H907"/>
    <mergeCell ref="B901:F901"/>
    <mergeCell ref="B915:H915"/>
    <mergeCell ref="B921:H921"/>
    <mergeCell ref="B924:H924"/>
    <mergeCell ref="D843:E843"/>
  </mergeCells>
  <printOptions horizontalCentered="1"/>
  <pageMargins left="0.18" right="0.03" top="0.43" bottom="0.3" header="0.31496062992125984" footer="0.18"/>
  <pageSetup paperSize="9" scale="10" orientation="portrait" horizontalDpi="4294967293" r:id="rId1"/>
  <rowBreaks count="15" manualBreakCount="15">
    <brk id="72" max="8" man="1"/>
    <brk id="137" max="8" man="1"/>
    <brk id="216" max="8" man="1"/>
    <brk id="267" max="8" man="1"/>
    <brk id="332" max="8" man="1"/>
    <brk id="379" max="8" man="1"/>
    <brk id="445" max="8" man="1"/>
    <brk id="514" max="8" man="1"/>
    <brk id="571" max="8" man="1"/>
    <brk id="622" max="8" man="1"/>
    <brk id="666" max="8" man="1"/>
    <brk id="732" max="8" man="1"/>
    <brk id="793" max="8" man="1"/>
    <brk id="869" max="8" man="1"/>
    <brk id="945"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973"/>
  <sheetViews>
    <sheetView tabSelected="1" view="pageBreakPreview" topLeftCell="A779" zoomScale="85" zoomScaleNormal="100" zoomScaleSheetLayoutView="85" workbookViewId="0">
      <selection activeCell="F797" sqref="F797"/>
    </sheetView>
  </sheetViews>
  <sheetFormatPr defaultColWidth="36.109375" defaultRowHeight="14.4"/>
  <cols>
    <col min="2" max="2" width="41" customWidth="1"/>
    <col min="3" max="3" width="17.33203125" customWidth="1"/>
    <col min="4" max="4" width="19" customWidth="1"/>
    <col min="5" max="5" width="18.33203125" customWidth="1"/>
    <col min="6" max="6" width="21.33203125" customWidth="1"/>
    <col min="7" max="7" width="24.6640625" customWidth="1"/>
    <col min="8" max="8" width="25.109375" customWidth="1"/>
    <col min="9" max="9" width="20.6640625" style="766" customWidth="1"/>
    <col min="10" max="10" width="34.109375" customWidth="1"/>
    <col min="11" max="11" width="16.44140625" style="3" customWidth="1"/>
    <col min="12" max="12" width="15.44140625" style="3" bestFit="1" customWidth="1"/>
    <col min="13" max="13" width="14.109375" style="3" bestFit="1" customWidth="1"/>
    <col min="14" max="14" width="26.33203125" style="3" bestFit="1" customWidth="1"/>
    <col min="15" max="15" width="22.44140625" customWidth="1"/>
    <col min="16" max="16" width="14.6640625" bestFit="1" customWidth="1"/>
    <col min="17" max="17" width="18.6640625" bestFit="1" customWidth="1"/>
  </cols>
  <sheetData>
    <row r="1" spans="1:17" ht="15" thickBot="1">
      <c r="A1">
        <v>100000</v>
      </c>
      <c r="G1" s="3">
        <f>+G46-G26</f>
        <v>0</v>
      </c>
      <c r="H1" s="136">
        <f>+H46-H26</f>
        <v>-6.3267816585721448E-7</v>
      </c>
    </row>
    <row r="2" spans="1:17" ht="18">
      <c r="B2" s="2184" t="s">
        <v>785</v>
      </c>
      <c r="C2" s="2185"/>
      <c r="D2" s="2185"/>
      <c r="E2" s="2185"/>
      <c r="F2" s="2185"/>
      <c r="G2" s="2185"/>
      <c r="H2" s="2186"/>
      <c r="I2" s="766">
        <f>+G1/7</f>
        <v>0</v>
      </c>
    </row>
    <row r="3" spans="1:17" s="3" customFormat="1" ht="18">
      <c r="A3"/>
      <c r="B3" s="2187" t="s">
        <v>786</v>
      </c>
      <c r="C3" s="2188"/>
      <c r="D3" s="2188"/>
      <c r="E3" s="2188"/>
      <c r="F3" s="2188"/>
      <c r="G3" s="2188"/>
      <c r="H3" s="2189"/>
      <c r="I3" s="766"/>
      <c r="J3"/>
      <c r="O3"/>
      <c r="P3"/>
      <c r="Q3"/>
    </row>
    <row r="4" spans="1:17" s="3" customFormat="1" ht="18">
      <c r="A4"/>
      <c r="B4" s="1845"/>
      <c r="C4" s="1846"/>
      <c r="D4" s="1846"/>
      <c r="E4" s="1846"/>
      <c r="F4" s="1846"/>
      <c r="G4" s="2263" t="s">
        <v>3123</v>
      </c>
      <c r="H4" s="2264"/>
      <c r="I4" s="766"/>
      <c r="J4"/>
      <c r="O4"/>
      <c r="P4"/>
      <c r="Q4"/>
    </row>
    <row r="5" spans="1:17" s="3" customFormat="1" ht="18">
      <c r="A5"/>
      <c r="B5" s="1235" t="s">
        <v>532</v>
      </c>
      <c r="C5" s="1236"/>
      <c r="D5" s="1236"/>
      <c r="E5" s="1236"/>
      <c r="F5" s="2190" t="s">
        <v>787</v>
      </c>
      <c r="G5" s="1237" t="s">
        <v>788</v>
      </c>
      <c r="H5" s="1238" t="s">
        <v>788</v>
      </c>
      <c r="I5" s="766"/>
      <c r="O5"/>
      <c r="P5"/>
      <c r="Q5"/>
    </row>
    <row r="6" spans="1:17" s="3" customFormat="1" ht="18">
      <c r="A6"/>
      <c r="B6" s="1239"/>
      <c r="C6" s="15"/>
      <c r="D6" s="15"/>
      <c r="E6" s="15"/>
      <c r="F6" s="2191"/>
      <c r="G6" s="16" t="s">
        <v>789</v>
      </c>
      <c r="H6" s="1240" t="s">
        <v>790</v>
      </c>
      <c r="I6" s="766"/>
      <c r="J6"/>
      <c r="O6"/>
      <c r="P6"/>
      <c r="Q6"/>
    </row>
    <row r="7" spans="1:17" s="3" customFormat="1" ht="18">
      <c r="A7"/>
      <c r="B7" s="1241" t="s">
        <v>791</v>
      </c>
      <c r="C7" s="1999"/>
      <c r="D7" s="1999"/>
      <c r="E7" s="1999"/>
      <c r="F7" s="436"/>
      <c r="G7" s="17"/>
      <c r="H7" s="1242"/>
      <c r="I7" s="766"/>
      <c r="J7"/>
      <c r="O7"/>
      <c r="P7"/>
      <c r="Q7"/>
    </row>
    <row r="8" spans="1:17" s="3" customFormat="1" ht="18">
      <c r="A8"/>
      <c r="B8" s="1241" t="s">
        <v>792</v>
      </c>
      <c r="C8" s="1999"/>
      <c r="D8" s="1999"/>
      <c r="E8" s="1999"/>
      <c r="F8" s="436"/>
      <c r="G8" s="17"/>
      <c r="H8" s="1242"/>
      <c r="I8" s="766"/>
      <c r="J8"/>
      <c r="O8"/>
      <c r="P8"/>
      <c r="Q8"/>
    </row>
    <row r="9" spans="1:17" s="3" customFormat="1" ht="18">
      <c r="A9"/>
      <c r="B9" s="1243" t="s">
        <v>82</v>
      </c>
      <c r="C9" s="1999"/>
      <c r="D9" s="1999"/>
      <c r="E9" s="1999"/>
      <c r="F9" s="2192">
        <v>2</v>
      </c>
      <c r="G9" s="103">
        <f>+SUM('Depreciation Lakhs'!B25:I25)</f>
        <v>1934.2826033041995</v>
      </c>
      <c r="H9" s="1377">
        <f>+(GETPIVOTDATA("Sum of Dr. Final 21-22",Pivot!$A$3,"Note",2,"BS Main Head","Property, Plant and Equipment","BS Sub Head","Tangible Asset")-GETPIVOTDATA("Sum of Cr. Final 21-22",Pivot!$A$3,"Note",2,"BS Main Head","Property, Plant and Equipment","BS Sub Head","Tangible Asset - PFD"))/A1</f>
        <v>2079.4752537999998</v>
      </c>
      <c r="I9" s="766"/>
      <c r="J9">
        <v>339748500.99000001</v>
      </c>
      <c r="K9" s="3">
        <f>+G9+G10-J9</f>
        <v>-339745102.23507059</v>
      </c>
      <c r="O9"/>
      <c r="P9"/>
      <c r="Q9"/>
    </row>
    <row r="10" spans="1:17" s="3" customFormat="1" ht="18">
      <c r="A10"/>
      <c r="B10" s="1243" t="s">
        <v>793</v>
      </c>
      <c r="C10" s="1999"/>
      <c r="D10" s="1999"/>
      <c r="E10" s="1999"/>
      <c r="F10" s="2192"/>
      <c r="G10" s="103">
        <f>+'Depreciation Lakhs'!J25</f>
        <v>1464.4723261000001</v>
      </c>
      <c r="H10" s="1377">
        <f>+GETPIVOTDATA("Sum of Dr. Final 21-22",Pivot!$A$3,"Note",2,"BS Main Head","Property, Plant and Equipment","BS Sub Head","Capital WIP")/A1</f>
        <v>403.80750219999999</v>
      </c>
      <c r="I10" s="766"/>
      <c r="J10" s="136">
        <f>+J9-G9-G10</f>
        <v>339745102.23507059</v>
      </c>
      <c r="O10"/>
      <c r="P10"/>
      <c r="Q10"/>
    </row>
    <row r="11" spans="1:17" s="3" customFormat="1" ht="18">
      <c r="A11"/>
      <c r="B11" s="1245" t="s">
        <v>15</v>
      </c>
      <c r="C11" s="1999"/>
      <c r="D11" s="1999"/>
      <c r="E11" s="1999"/>
      <c r="F11" s="19"/>
      <c r="G11" s="20"/>
      <c r="H11" s="1246"/>
      <c r="I11" s="767"/>
      <c r="J11"/>
      <c r="O11"/>
      <c r="P11"/>
      <c r="Q11"/>
    </row>
    <row r="12" spans="1:17" s="3" customFormat="1" ht="18">
      <c r="A12"/>
      <c r="B12" s="1247" t="s">
        <v>794</v>
      </c>
      <c r="C12" s="1999"/>
      <c r="D12" s="1999"/>
      <c r="E12" s="1999"/>
      <c r="F12" s="19">
        <v>3</v>
      </c>
      <c r="G12" s="1863">
        <f>+G238</f>
        <v>34.696260000000002</v>
      </c>
      <c r="H12" s="1281">
        <f>+H238</f>
        <v>23.834786099999999</v>
      </c>
      <c r="I12" s="766"/>
      <c r="J12">
        <f>230.93-160.1</f>
        <v>70.830000000000013</v>
      </c>
      <c r="O12"/>
      <c r="P12"/>
      <c r="Q12"/>
    </row>
    <row r="13" spans="1:17" s="3" customFormat="1" ht="18">
      <c r="A13"/>
      <c r="B13" s="1249" t="s">
        <v>795</v>
      </c>
      <c r="C13" s="1999"/>
      <c r="D13" s="1999"/>
      <c r="E13" s="1999"/>
      <c r="F13" s="19">
        <v>4</v>
      </c>
      <c r="G13" s="1863">
        <f>+G245</f>
        <v>160.09672</v>
      </c>
      <c r="H13" s="1281">
        <f>+H245</f>
        <v>232.33048000000002</v>
      </c>
      <c r="I13" s="766"/>
      <c r="J13" s="1144">
        <f>+G13-16007912</f>
        <v>-16007751.903279999</v>
      </c>
      <c r="O13"/>
      <c r="P13"/>
      <c r="Q13"/>
    </row>
    <row r="14" spans="1:17" s="3" customFormat="1" ht="18">
      <c r="A14"/>
      <c r="B14" s="1250" t="s">
        <v>796</v>
      </c>
      <c r="C14" s="1999"/>
      <c r="D14" s="1999"/>
      <c r="E14" s="1999"/>
      <c r="F14" s="19"/>
      <c r="G14" s="1869">
        <f>+SUM(G9:G13)</f>
        <v>3593.5479094041998</v>
      </c>
      <c r="H14" s="1870">
        <f>+SUM(H9:H13)</f>
        <v>2739.4480220999999</v>
      </c>
      <c r="I14" s="766"/>
      <c r="J14"/>
      <c r="O14"/>
      <c r="P14"/>
      <c r="Q14"/>
    </row>
    <row r="15" spans="1:17" s="3" customFormat="1" ht="18">
      <c r="A15"/>
      <c r="B15" s="1250" t="s">
        <v>797</v>
      </c>
      <c r="C15" s="1999"/>
      <c r="D15" s="1999"/>
      <c r="E15" s="1999"/>
      <c r="F15" s="19"/>
      <c r="G15" s="20"/>
      <c r="H15" s="1246"/>
      <c r="I15" s="766"/>
      <c r="J15"/>
      <c r="O15"/>
      <c r="P15"/>
      <c r="Q15"/>
    </row>
    <row r="16" spans="1:17" s="3" customFormat="1" ht="18">
      <c r="A16"/>
      <c r="B16" s="1249" t="s">
        <v>798</v>
      </c>
      <c r="C16" s="1999"/>
      <c r="D16" s="1999"/>
      <c r="E16" s="1999"/>
      <c r="F16" s="19">
        <v>5</v>
      </c>
      <c r="G16" s="1863">
        <f>+G252</f>
        <v>626.62680833638387</v>
      </c>
      <c r="H16" s="1281">
        <f>+H252</f>
        <v>515.93267000000003</v>
      </c>
      <c r="I16" s="766"/>
      <c r="J16"/>
      <c r="O16"/>
      <c r="P16"/>
      <c r="Q16"/>
    </row>
    <row r="17" spans="1:17" s="3" customFormat="1" ht="18">
      <c r="A17"/>
      <c r="B17" s="1249" t="s">
        <v>15</v>
      </c>
      <c r="C17" s="1999"/>
      <c r="D17" s="1999"/>
      <c r="E17" s="1999"/>
      <c r="F17" s="19"/>
      <c r="G17" s="1861"/>
      <c r="H17" s="1862"/>
      <c r="I17" s="766"/>
      <c r="J17"/>
      <c r="O17"/>
      <c r="P17"/>
      <c r="Q17"/>
    </row>
    <row r="18" spans="1:17" s="3" customFormat="1" ht="18">
      <c r="A18"/>
      <c r="B18" s="1252" t="s">
        <v>799</v>
      </c>
      <c r="C18" s="1999"/>
      <c r="D18" s="1999"/>
      <c r="E18" s="1999"/>
      <c r="F18" s="19">
        <v>6</v>
      </c>
      <c r="G18" s="1863">
        <f>+G258</f>
        <v>1158.0224214</v>
      </c>
      <c r="H18" s="1281">
        <f>+H258</f>
        <v>1665.5474643</v>
      </c>
      <c r="I18" s="766"/>
      <c r="J18">
        <f>1270.07-1158.02</f>
        <v>112.04999999999995</v>
      </c>
      <c r="O18"/>
      <c r="P18"/>
      <c r="Q18"/>
    </row>
    <row r="19" spans="1:17" s="3" customFormat="1" ht="18">
      <c r="A19"/>
      <c r="B19" s="1252" t="s">
        <v>800</v>
      </c>
      <c r="C19" s="1999"/>
      <c r="D19" s="1999"/>
      <c r="E19" s="1999"/>
      <c r="F19" s="19">
        <v>7</v>
      </c>
      <c r="G19" s="1863">
        <f>+G290</f>
        <v>2.3977564</v>
      </c>
      <c r="H19" s="1281">
        <f>+H290</f>
        <v>0.79146640000000001</v>
      </c>
      <c r="I19" s="767">
        <f>+H19-79147</f>
        <v>-79146.208533600002</v>
      </c>
      <c r="J19"/>
      <c r="O19"/>
      <c r="P19"/>
      <c r="Q19"/>
    </row>
    <row r="20" spans="1:17" s="3" customFormat="1" ht="18">
      <c r="A20"/>
      <c r="B20" s="1252" t="s">
        <v>2390</v>
      </c>
      <c r="C20" s="1999"/>
      <c r="D20" s="1999"/>
      <c r="E20" s="1999"/>
      <c r="F20" s="19">
        <v>8</v>
      </c>
      <c r="G20" s="1863">
        <f>+G296</f>
        <v>74.27</v>
      </c>
      <c r="H20" s="1281">
        <f>+H296</f>
        <v>83.625</v>
      </c>
      <c r="I20" s="767"/>
      <c r="J20"/>
      <c r="O20"/>
      <c r="P20"/>
      <c r="Q20"/>
    </row>
    <row r="21" spans="1:17" s="3" customFormat="1" ht="18">
      <c r="A21"/>
      <c r="B21" s="1249" t="s">
        <v>801</v>
      </c>
      <c r="C21" s="1999"/>
      <c r="D21" s="1999"/>
      <c r="E21" s="1999"/>
      <c r="F21" s="19">
        <v>9</v>
      </c>
      <c r="G21" s="1863">
        <f>+G302</f>
        <v>100.37184000000001</v>
      </c>
      <c r="H21" s="1281">
        <f>+H302</f>
        <v>62.557370200000001</v>
      </c>
      <c r="I21" s="766"/>
      <c r="J21" s="1144">
        <f>+G21-10038944</f>
        <v>-10038843.62816</v>
      </c>
      <c r="O21"/>
      <c r="P21"/>
      <c r="Q21"/>
    </row>
    <row r="22" spans="1:17" s="3" customFormat="1" ht="18">
      <c r="A22"/>
      <c r="B22" s="1249" t="s">
        <v>802</v>
      </c>
      <c r="C22" s="1999"/>
      <c r="D22" s="1999"/>
      <c r="E22" s="1999"/>
      <c r="F22" s="19">
        <v>10</v>
      </c>
      <c r="G22" s="1863">
        <f>+G305</f>
        <v>35.504003599999997</v>
      </c>
      <c r="H22" s="1281">
        <f>+H305</f>
        <v>23.229578136878001</v>
      </c>
      <c r="I22" s="766"/>
      <c r="J22"/>
      <c r="O22"/>
      <c r="P22"/>
      <c r="Q22"/>
    </row>
    <row r="23" spans="1:17" s="3" customFormat="1" ht="18">
      <c r="A23"/>
      <c r="B23" s="1247"/>
      <c r="C23" s="1999"/>
      <c r="D23" s="1999"/>
      <c r="E23" s="24"/>
      <c r="F23" s="2014"/>
      <c r="G23" s="1869">
        <f>+SUM(G16:G22)</f>
        <v>1997.1928297363838</v>
      </c>
      <c r="H23" s="1870">
        <f>+SUM(H16:H22)</f>
        <v>2351.683549036878</v>
      </c>
      <c r="I23" s="766"/>
      <c r="J23"/>
      <c r="O23"/>
      <c r="P23"/>
      <c r="Q23"/>
    </row>
    <row r="24" spans="1:17" s="3" customFormat="1" ht="18">
      <c r="A24"/>
      <c r="B24" s="1247"/>
      <c r="C24" s="1999"/>
      <c r="D24" s="1999"/>
      <c r="E24" s="1999"/>
      <c r="F24" s="19"/>
      <c r="G24" s="104"/>
      <c r="H24" s="1942"/>
      <c r="I24" s="766"/>
      <c r="J24"/>
      <c r="O24"/>
      <c r="P24"/>
      <c r="Q24"/>
    </row>
    <row r="25" spans="1:17" s="3" customFormat="1" ht="18">
      <c r="A25"/>
      <c r="B25" s="1254"/>
      <c r="C25" s="1999"/>
      <c r="D25" s="1999"/>
      <c r="E25" s="1999"/>
      <c r="F25" s="436"/>
      <c r="G25" s="535"/>
      <c r="H25" s="1910"/>
      <c r="I25" s="766"/>
      <c r="J25"/>
      <c r="O25"/>
      <c r="P25"/>
      <c r="Q25"/>
    </row>
    <row r="26" spans="1:17" s="3" customFormat="1" ht="18.600000000000001" thickBot="1">
      <c r="A26"/>
      <c r="B26" s="1254" t="s">
        <v>803</v>
      </c>
      <c r="C26" s="1999"/>
      <c r="D26" s="1999"/>
      <c r="E26" s="1999"/>
      <c r="F26" s="436"/>
      <c r="G26" s="1943">
        <f>+G23+G14</f>
        <v>5590.7407391405832</v>
      </c>
      <c r="H26" s="1944">
        <f>+H23+H14</f>
        <v>5091.1315711368779</v>
      </c>
      <c r="I26" s="767">
        <f>+H26-[74]BSPL!$G$26</f>
        <v>-509108066.4730553</v>
      </c>
      <c r="J26" s="1143"/>
      <c r="O26"/>
      <c r="P26"/>
      <c r="Q26"/>
    </row>
    <row r="27" spans="1:17" s="3" customFormat="1" ht="18.600000000000001" thickTop="1">
      <c r="A27"/>
      <c r="B27" s="1256" t="s">
        <v>804</v>
      </c>
      <c r="C27" s="1999"/>
      <c r="D27" s="1999"/>
      <c r="E27" s="1999"/>
      <c r="F27" s="19"/>
      <c r="G27" s="20"/>
      <c r="H27" s="1246"/>
      <c r="I27" s="766"/>
      <c r="J27"/>
      <c r="O27"/>
      <c r="P27"/>
      <c r="Q27"/>
    </row>
    <row r="28" spans="1:17" s="3" customFormat="1" ht="18">
      <c r="A28"/>
      <c r="B28" s="1254" t="s">
        <v>805</v>
      </c>
      <c r="C28" s="1999"/>
      <c r="D28" s="1999"/>
      <c r="E28" s="1999"/>
      <c r="F28" s="19"/>
      <c r="G28" s="20"/>
      <c r="H28" s="1246"/>
      <c r="I28" s="766"/>
      <c r="J28"/>
      <c r="O28"/>
      <c r="P28"/>
      <c r="Q28"/>
    </row>
    <row r="29" spans="1:17" s="3" customFormat="1" ht="18">
      <c r="A29"/>
      <c r="B29" s="1247" t="s">
        <v>806</v>
      </c>
      <c r="C29" s="1999"/>
      <c r="D29" s="1999"/>
      <c r="E29" s="1999"/>
      <c r="F29" s="19">
        <v>11</v>
      </c>
      <c r="G29" s="1863">
        <f>+G155</f>
        <v>269.22649999999999</v>
      </c>
      <c r="H29" s="1281">
        <f>+H155</f>
        <v>269.22649999999999</v>
      </c>
      <c r="I29" s="766"/>
      <c r="J29"/>
      <c r="O29"/>
      <c r="P29"/>
      <c r="Q29"/>
    </row>
    <row r="30" spans="1:17" s="3" customFormat="1" ht="18">
      <c r="A30"/>
      <c r="B30" s="1247" t="s">
        <v>807</v>
      </c>
      <c r="C30" s="1999"/>
      <c r="D30" s="1999"/>
      <c r="E30" s="1999"/>
      <c r="F30" s="19"/>
      <c r="G30" s="1863">
        <f>+G201</f>
        <v>2090.2524207525885</v>
      </c>
      <c r="H30" s="1281">
        <f>+H201</f>
        <v>2463.0149699054632</v>
      </c>
      <c r="I30" s="766"/>
      <c r="J30" s="136">
        <f>+G30-208433086</f>
        <v>-208430995.74757925</v>
      </c>
      <c r="O30"/>
      <c r="P30"/>
      <c r="Q30"/>
    </row>
    <row r="31" spans="1:17" s="3" customFormat="1" ht="18">
      <c r="A31"/>
      <c r="B31" s="1254" t="s">
        <v>808</v>
      </c>
      <c r="C31" s="1999"/>
      <c r="D31" s="1999"/>
      <c r="E31" s="1999"/>
      <c r="F31" s="19"/>
      <c r="G31" s="1945">
        <f>+SUM(G29:G30)</f>
        <v>2359.4789207525882</v>
      </c>
      <c r="H31" s="1946">
        <f>+SUM(H29:H30)</f>
        <v>2732.2414699054634</v>
      </c>
      <c r="I31" s="766"/>
      <c r="J31"/>
      <c r="O31"/>
      <c r="P31"/>
      <c r="Q31"/>
    </row>
    <row r="32" spans="1:17" s="3" customFormat="1" ht="18">
      <c r="A32"/>
      <c r="B32" s="1254" t="s">
        <v>809</v>
      </c>
      <c r="C32" s="1999"/>
      <c r="D32" s="1999"/>
      <c r="E32" s="1999"/>
      <c r="F32" s="19"/>
      <c r="G32" s="20"/>
      <c r="H32" s="1246"/>
      <c r="I32" s="766"/>
      <c r="J32"/>
      <c r="O32"/>
      <c r="P32"/>
      <c r="Q32"/>
    </row>
    <row r="33" spans="1:17" s="3" customFormat="1" ht="18">
      <c r="A33"/>
      <c r="B33" s="1247" t="s">
        <v>810</v>
      </c>
      <c r="C33" s="1999"/>
      <c r="D33" s="1999"/>
      <c r="E33" s="1999"/>
      <c r="F33" s="19"/>
      <c r="G33" s="20"/>
      <c r="H33" s="1246"/>
      <c r="I33" s="766"/>
      <c r="J33">
        <f>1375.89-1145.89</f>
        <v>230</v>
      </c>
      <c r="O33"/>
      <c r="P33"/>
      <c r="Q33"/>
    </row>
    <row r="34" spans="1:17" s="3" customFormat="1" ht="18">
      <c r="A34"/>
      <c r="B34" s="1247" t="s">
        <v>811</v>
      </c>
      <c r="C34" s="1999"/>
      <c r="D34" s="1999"/>
      <c r="E34" s="1999"/>
      <c r="F34" s="19">
        <v>12</v>
      </c>
      <c r="G34" s="1863">
        <f>+G392</f>
        <v>1145.8910509</v>
      </c>
      <c r="H34" s="1281">
        <f>+H392</f>
        <v>430.66111999999998</v>
      </c>
      <c r="I34" s="766"/>
      <c r="J34" s="136">
        <f>+G34-114584771</f>
        <v>-114583625.1089491</v>
      </c>
      <c r="O34"/>
      <c r="P34"/>
      <c r="Q34"/>
    </row>
    <row r="35" spans="1:17" s="3" customFormat="1" ht="18">
      <c r="A35"/>
      <c r="B35" s="1247" t="s">
        <v>812</v>
      </c>
      <c r="C35" s="1999"/>
      <c r="D35" s="1999"/>
      <c r="E35" s="1999"/>
      <c r="F35" s="19">
        <v>13</v>
      </c>
      <c r="G35" s="1863">
        <f>+G401</f>
        <v>8.3898970000000013</v>
      </c>
      <c r="H35" s="1281">
        <f>+H401</f>
        <v>9.7507570000000001</v>
      </c>
      <c r="I35" s="766"/>
      <c r="J35"/>
      <c r="O35"/>
      <c r="P35"/>
      <c r="Q35"/>
    </row>
    <row r="36" spans="1:17" s="3" customFormat="1" ht="18">
      <c r="A36"/>
      <c r="B36" s="1247" t="s">
        <v>813</v>
      </c>
      <c r="C36" s="1999"/>
      <c r="D36" s="1999"/>
      <c r="E36" s="1999"/>
      <c r="F36" s="19">
        <v>14</v>
      </c>
      <c r="G36" s="1863">
        <f>+G416</f>
        <v>41.057569186484301</v>
      </c>
      <c r="H36" s="1281">
        <f>+H416</f>
        <v>161.51128949873598</v>
      </c>
      <c r="I36" s="767"/>
      <c r="J36" s="1144">
        <f>+G36-4278171</f>
        <v>-4278129.9424308138</v>
      </c>
      <c r="O36"/>
      <c r="P36"/>
      <c r="Q36"/>
    </row>
    <row r="37" spans="1:17" s="3" customFormat="1" ht="18">
      <c r="A37"/>
      <c r="B37" s="1257"/>
      <c r="C37" s="1999"/>
      <c r="D37" s="1999"/>
      <c r="E37" s="1999"/>
      <c r="F37" s="19"/>
      <c r="G37" s="1945">
        <f>+SUM(G34:G36)</f>
        <v>1195.3385170864842</v>
      </c>
      <c r="H37" s="1946">
        <f>+SUM(H34:H36)</f>
        <v>601.92316649873601</v>
      </c>
      <c r="I37" s="766"/>
      <c r="J37"/>
      <c r="O37"/>
      <c r="P37"/>
      <c r="Q37"/>
    </row>
    <row r="38" spans="1:17" s="3" customFormat="1" ht="18">
      <c r="A38"/>
      <c r="B38" s="1254" t="s">
        <v>814</v>
      </c>
      <c r="C38" s="1999"/>
      <c r="D38" s="1999"/>
      <c r="E38" s="1999"/>
      <c r="F38" s="19"/>
      <c r="G38" s="20"/>
      <c r="H38" s="1246"/>
      <c r="I38" s="766"/>
      <c r="J38"/>
      <c r="O38"/>
      <c r="P38"/>
      <c r="Q38"/>
    </row>
    <row r="39" spans="1:17" s="3" customFormat="1" ht="18">
      <c r="A39"/>
      <c r="B39" s="1247" t="s">
        <v>810</v>
      </c>
      <c r="C39" s="1999"/>
      <c r="D39" s="1999"/>
      <c r="E39" s="1999"/>
      <c r="F39" s="19"/>
      <c r="G39" s="20"/>
      <c r="H39" s="1246"/>
      <c r="I39" s="766"/>
      <c r="J39"/>
      <c r="O39"/>
      <c r="P39"/>
      <c r="Q39"/>
    </row>
    <row r="40" spans="1:17" s="3" customFormat="1" ht="18">
      <c r="A40"/>
      <c r="B40" s="1247" t="s">
        <v>811</v>
      </c>
      <c r="C40" s="1999"/>
      <c r="D40" s="1999"/>
      <c r="E40" s="1999"/>
      <c r="F40" s="19">
        <v>15</v>
      </c>
      <c r="G40" s="1863">
        <f>+G429</f>
        <v>1012.7469328</v>
      </c>
      <c r="H40" s="1281">
        <f>+H429</f>
        <v>772.09079569999994</v>
      </c>
      <c r="I40" s="766"/>
      <c r="J40"/>
      <c r="O40"/>
      <c r="P40"/>
      <c r="Q40"/>
    </row>
    <row r="41" spans="1:17" s="3" customFormat="1" ht="18">
      <c r="A41"/>
      <c r="B41" s="1247" t="s">
        <v>815</v>
      </c>
      <c r="C41" s="1999"/>
      <c r="D41" s="1999"/>
      <c r="E41" s="1999"/>
      <c r="F41" s="19">
        <v>16</v>
      </c>
      <c r="G41" s="1863">
        <f>+G434</f>
        <v>915.97921990151008</v>
      </c>
      <c r="H41" s="1281">
        <f>+H434</f>
        <v>873.56478839999988</v>
      </c>
      <c r="I41" s="767"/>
      <c r="J41"/>
      <c r="O41"/>
      <c r="P41"/>
      <c r="Q41"/>
    </row>
    <row r="42" spans="1:17" s="3" customFormat="1" ht="18">
      <c r="A42"/>
      <c r="B42" s="1247" t="s">
        <v>816</v>
      </c>
      <c r="C42" s="1999"/>
      <c r="D42" s="1999"/>
      <c r="E42" s="1999"/>
      <c r="F42" s="19">
        <v>17</v>
      </c>
      <c r="G42" s="1863">
        <f>+G471</f>
        <v>63.976079999999996</v>
      </c>
      <c r="H42" s="1281">
        <f>+H471</f>
        <v>11.52229</v>
      </c>
      <c r="I42" s="767"/>
      <c r="J42"/>
      <c r="O42"/>
      <c r="P42"/>
      <c r="Q42"/>
    </row>
    <row r="43" spans="1:17" s="3" customFormat="1" ht="18">
      <c r="A43"/>
      <c r="B43" s="1247" t="s">
        <v>817</v>
      </c>
      <c r="C43" s="1999"/>
      <c r="D43" s="1999"/>
      <c r="E43" s="1999"/>
      <c r="F43" s="19">
        <v>18</v>
      </c>
      <c r="G43" s="1863">
        <f>+G475</f>
        <v>23.125318599999989</v>
      </c>
      <c r="H43" s="1281">
        <f>+H475</f>
        <v>65.683700000000002</v>
      </c>
      <c r="I43" s="766"/>
      <c r="J43" s="136">
        <f>+G43-2609615</f>
        <v>-2609591.8746814001</v>
      </c>
      <c r="O43"/>
      <c r="P43"/>
      <c r="Q43"/>
    </row>
    <row r="44" spans="1:17" s="3" customFormat="1" ht="18">
      <c r="A44"/>
      <c r="B44" s="1247" t="s">
        <v>818</v>
      </c>
      <c r="C44" s="1999"/>
      <c r="D44" s="1999"/>
      <c r="E44" s="1999"/>
      <c r="F44" s="19">
        <v>19</v>
      </c>
      <c r="G44" s="1863">
        <f>+G480</f>
        <v>20.095750000000002</v>
      </c>
      <c r="H44" s="1281">
        <f>+H480</f>
        <v>34.105360000000005</v>
      </c>
      <c r="I44" s="766"/>
      <c r="J44"/>
      <c r="O44"/>
      <c r="P44"/>
      <c r="Q44"/>
    </row>
    <row r="45" spans="1:17" s="3" customFormat="1" ht="18">
      <c r="A45"/>
      <c r="B45" s="1254" t="s">
        <v>819</v>
      </c>
      <c r="C45" s="1999"/>
      <c r="D45" s="1999"/>
      <c r="E45" s="1999"/>
      <c r="F45" s="19"/>
      <c r="G45" s="1947">
        <f>+SUM(G40:G44)</f>
        <v>2035.9233013015098</v>
      </c>
      <c r="H45" s="1948">
        <f>+SUM(H40:H44)</f>
        <v>1756.9669341000001</v>
      </c>
      <c r="I45" s="1742">
        <f>+G23/G45</f>
        <v>0.98097645842534109</v>
      </c>
      <c r="J45"/>
      <c r="O45"/>
      <c r="P45"/>
      <c r="Q45"/>
    </row>
    <row r="46" spans="1:17" s="3" customFormat="1" ht="18.600000000000001" thickBot="1">
      <c r="A46"/>
      <c r="B46" s="1256" t="s">
        <v>820</v>
      </c>
      <c r="C46" s="1999"/>
      <c r="D46" s="1999"/>
      <c r="E46" s="1999"/>
      <c r="F46" s="437"/>
      <c r="G46" s="1949">
        <f>+G45+G37+G31</f>
        <v>5590.7407391405823</v>
      </c>
      <c r="H46" s="1950">
        <f>+H45+H37+H31</f>
        <v>5091.1315705041998</v>
      </c>
      <c r="I46" s="767"/>
      <c r="J46" s="136">
        <f>SUM(J30:J43)</f>
        <v>-329902112.67364055</v>
      </c>
      <c r="O46"/>
      <c r="P46"/>
      <c r="Q46"/>
    </row>
    <row r="47" spans="1:17" s="3" customFormat="1" ht="18.600000000000001" thickTop="1">
      <c r="A47"/>
      <c r="B47" s="1261" t="s">
        <v>821</v>
      </c>
      <c r="C47" s="15"/>
      <c r="D47" s="15"/>
      <c r="E47" s="15"/>
      <c r="F47" s="1079" t="s">
        <v>3134</v>
      </c>
      <c r="G47" s="28"/>
      <c r="H47" s="1262"/>
      <c r="I47" s="766"/>
      <c r="J47"/>
      <c r="O47"/>
      <c r="P47"/>
      <c r="Q47"/>
    </row>
    <row r="48" spans="1:17" s="3" customFormat="1" ht="18">
      <c r="A48"/>
      <c r="B48" s="1256"/>
      <c r="C48" s="1999"/>
      <c r="D48" s="1999"/>
      <c r="E48" s="1999"/>
      <c r="F48" s="2008"/>
      <c r="G48" s="29"/>
      <c r="H48" s="1263"/>
      <c r="I48" s="766"/>
      <c r="J48"/>
      <c r="O48"/>
      <c r="P48"/>
      <c r="Q48"/>
    </row>
    <row r="49" spans="1:17" s="3" customFormat="1" ht="18">
      <c r="A49"/>
      <c r="B49" s="1256" t="s">
        <v>822</v>
      </c>
      <c r="C49" s="1999"/>
      <c r="D49" s="1999"/>
      <c r="E49" s="1999"/>
      <c r="F49" s="2001"/>
      <c r="G49" s="30"/>
      <c r="H49" s="1264"/>
      <c r="I49" s="766"/>
      <c r="J49"/>
      <c r="O49"/>
      <c r="P49"/>
      <c r="Q49"/>
    </row>
    <row r="50" spans="1:17" s="766" customFormat="1" ht="18">
      <c r="A50"/>
      <c r="B50" s="1222" t="s">
        <v>823</v>
      </c>
      <c r="C50" s="1223"/>
      <c r="D50" s="1223"/>
      <c r="E50" s="1223"/>
      <c r="F50" s="1959" t="s">
        <v>824</v>
      </c>
      <c r="G50" s="31"/>
      <c r="H50" s="1265"/>
      <c r="J50"/>
      <c r="K50" s="3"/>
      <c r="L50" s="3"/>
      <c r="M50" s="3"/>
      <c r="N50" s="3"/>
      <c r="O50"/>
      <c r="P50"/>
      <c r="Q50"/>
    </row>
    <row r="51" spans="1:17" s="766" customFormat="1" ht="18">
      <c r="A51"/>
      <c r="B51" s="1222"/>
      <c r="C51" s="1223"/>
      <c r="D51" s="1223"/>
      <c r="E51" s="1223"/>
      <c r="F51" s="1959"/>
      <c r="G51" s="31"/>
      <c r="H51" s="1265"/>
      <c r="J51"/>
      <c r="K51" s="3"/>
      <c r="L51" s="3"/>
      <c r="M51" s="3"/>
      <c r="N51" s="3"/>
      <c r="O51"/>
      <c r="P51"/>
      <c r="Q51"/>
    </row>
    <row r="52" spans="1:17" s="766" customFormat="1" ht="18">
      <c r="A52"/>
      <c r="B52" s="1222"/>
      <c r="C52" s="1223"/>
      <c r="D52" s="1223"/>
      <c r="E52" s="1223"/>
      <c r="F52" s="1959"/>
      <c r="G52" s="31"/>
      <c r="H52" s="1265"/>
      <c r="J52"/>
      <c r="K52" s="3"/>
      <c r="L52" s="3"/>
      <c r="M52" s="3"/>
      <c r="N52" s="3"/>
      <c r="O52"/>
      <c r="P52"/>
      <c r="Q52"/>
    </row>
    <row r="53" spans="1:17" s="766" customFormat="1" ht="18">
      <c r="A53"/>
      <c r="B53" s="1225"/>
      <c r="C53" s="1999"/>
      <c r="D53" s="1999"/>
      <c r="E53" s="1999"/>
      <c r="F53" s="1959"/>
      <c r="G53" s="31"/>
      <c r="H53" s="1265"/>
      <c r="J53"/>
      <c r="K53" s="3"/>
      <c r="L53" s="3"/>
      <c r="M53" s="3"/>
      <c r="N53" s="3"/>
      <c r="O53"/>
      <c r="P53"/>
      <c r="Q53"/>
    </row>
    <row r="54" spans="1:17" s="766" customFormat="1" ht="18">
      <c r="A54"/>
      <c r="B54" s="1225" t="s">
        <v>825</v>
      </c>
      <c r="C54" s="1226"/>
      <c r="D54" s="1226"/>
      <c r="E54" s="1226"/>
      <c r="F54" s="2002" t="s">
        <v>826</v>
      </c>
      <c r="G54" s="33"/>
      <c r="H54" s="1266"/>
      <c r="J54"/>
      <c r="K54" s="3"/>
      <c r="L54" s="3"/>
      <c r="M54" s="3"/>
      <c r="N54" s="3"/>
      <c r="O54"/>
      <c r="P54"/>
      <c r="Q54"/>
    </row>
    <row r="55" spans="1:17" s="766" customFormat="1" ht="18">
      <c r="A55"/>
      <c r="B55" s="1225" t="s">
        <v>827</v>
      </c>
      <c r="C55" s="1226"/>
      <c r="D55" s="1226"/>
      <c r="E55" s="1226"/>
      <c r="F55" s="1999" t="s">
        <v>828</v>
      </c>
      <c r="G55" s="31"/>
      <c r="H55" s="1265"/>
      <c r="J55"/>
      <c r="K55" s="3"/>
      <c r="L55" s="3"/>
      <c r="M55" s="3"/>
      <c r="N55" s="3"/>
      <c r="O55"/>
      <c r="P55"/>
      <c r="Q55"/>
    </row>
    <row r="56" spans="1:17" s="766" customFormat="1" ht="18">
      <c r="A56"/>
      <c r="B56" s="1225" t="s">
        <v>829</v>
      </c>
      <c r="C56" s="1999"/>
      <c r="D56" s="1999"/>
      <c r="E56" s="1999"/>
      <c r="F56" s="1999"/>
      <c r="G56" s="31"/>
      <c r="H56" s="1265"/>
      <c r="J56"/>
      <c r="K56" s="3"/>
      <c r="L56" s="3"/>
      <c r="M56" s="3"/>
      <c r="N56" s="3"/>
      <c r="O56"/>
      <c r="P56"/>
      <c r="Q56"/>
    </row>
    <row r="57" spans="1:17" s="766" customFormat="1" ht="18">
      <c r="A57"/>
      <c r="B57" s="1225"/>
      <c r="C57" s="1226"/>
      <c r="D57" s="1226"/>
      <c r="E57" s="1226"/>
      <c r="F57" s="1999"/>
      <c r="G57" s="31"/>
      <c r="H57" s="1265"/>
      <c r="J57"/>
      <c r="K57" s="3"/>
      <c r="L57" s="3"/>
      <c r="M57" s="3"/>
      <c r="N57" s="3"/>
      <c r="O57"/>
      <c r="P57"/>
      <c r="Q57"/>
    </row>
    <row r="58" spans="1:17" s="766" customFormat="1" ht="18">
      <c r="A58"/>
      <c r="B58" s="1225"/>
      <c r="C58" s="1226"/>
      <c r="D58" s="1226"/>
      <c r="E58" s="1226"/>
      <c r="F58" s="1999"/>
      <c r="G58" s="31"/>
      <c r="H58" s="1265"/>
      <c r="J58"/>
      <c r="K58" s="3"/>
      <c r="L58" s="3"/>
      <c r="M58" s="3"/>
      <c r="N58" s="3"/>
      <c r="O58"/>
      <c r="P58"/>
      <c r="Q58"/>
    </row>
    <row r="59" spans="1:17" s="766" customFormat="1" ht="18">
      <c r="A59"/>
      <c r="B59" s="1225"/>
      <c r="C59" s="1226"/>
      <c r="D59" s="1226"/>
      <c r="E59" s="1226"/>
      <c r="F59" s="2002" t="s">
        <v>830</v>
      </c>
      <c r="G59" s="33"/>
      <c r="H59" s="1266"/>
      <c r="J59"/>
      <c r="K59" s="3"/>
      <c r="L59" s="3"/>
      <c r="M59" s="3"/>
      <c r="N59" s="3"/>
      <c r="O59"/>
      <c r="P59"/>
      <c r="Q59"/>
    </row>
    <row r="60" spans="1:17" s="766" customFormat="1" ht="18">
      <c r="A60"/>
      <c r="B60" s="1225" t="s">
        <v>2784</v>
      </c>
      <c r="C60" s="1226"/>
      <c r="D60" s="1226"/>
      <c r="E60" s="1226"/>
      <c r="F60" s="1999" t="s">
        <v>831</v>
      </c>
      <c r="G60" s="31"/>
      <c r="H60" s="1265"/>
      <c r="J60"/>
      <c r="K60" s="3"/>
      <c r="L60" s="3"/>
      <c r="M60" s="3"/>
      <c r="N60" s="3"/>
      <c r="O60"/>
      <c r="P60"/>
      <c r="Q60"/>
    </row>
    <row r="61" spans="1:17" s="766" customFormat="1" ht="18">
      <c r="A61"/>
      <c r="B61" s="1225" t="s">
        <v>832</v>
      </c>
      <c r="C61" s="34"/>
      <c r="D61" s="34"/>
      <c r="E61" s="34"/>
      <c r="F61" s="1959"/>
      <c r="G61" s="31"/>
      <c r="H61" s="1265"/>
      <c r="J61"/>
      <c r="K61" s="3"/>
      <c r="L61" s="3"/>
      <c r="M61" s="3"/>
      <c r="N61" s="3"/>
      <c r="O61"/>
      <c r="P61"/>
      <c r="Q61"/>
    </row>
    <row r="62" spans="1:17" s="766" customFormat="1" ht="18">
      <c r="A62"/>
      <c r="B62" s="1225" t="s">
        <v>2786</v>
      </c>
      <c r="C62" s="35"/>
      <c r="D62" s="35"/>
      <c r="E62" s="35"/>
      <c r="F62" s="1959"/>
      <c r="G62" s="31"/>
      <c r="H62" s="1265"/>
      <c r="J62"/>
      <c r="K62" s="3"/>
      <c r="L62" s="3"/>
      <c r="M62" s="3"/>
      <c r="N62" s="3"/>
      <c r="O62"/>
      <c r="P62"/>
      <c r="Q62"/>
    </row>
    <row r="63" spans="1:17" s="766" customFormat="1" ht="18">
      <c r="A63"/>
      <c r="B63" s="1229" t="s">
        <v>834</v>
      </c>
      <c r="C63" s="35"/>
      <c r="D63" s="35"/>
      <c r="E63" s="35"/>
      <c r="F63" s="1959"/>
      <c r="G63" s="31"/>
      <c r="H63" s="1265"/>
      <c r="J63"/>
      <c r="K63" s="3"/>
      <c r="L63" s="3"/>
      <c r="M63" s="3"/>
      <c r="N63" s="3"/>
      <c r="O63"/>
      <c r="P63"/>
      <c r="Q63"/>
    </row>
    <row r="64" spans="1:17" s="766" customFormat="1" ht="18">
      <c r="A64"/>
      <c r="B64" s="1229" t="s">
        <v>2969</v>
      </c>
      <c r="C64" s="35"/>
      <c r="D64" s="35"/>
      <c r="E64" s="35"/>
      <c r="F64" s="2193" t="s">
        <v>833</v>
      </c>
      <c r="G64" s="2193"/>
      <c r="H64" s="2194"/>
      <c r="J64"/>
      <c r="K64" s="3"/>
      <c r="L64" s="3"/>
      <c r="M64" s="3"/>
      <c r="N64" s="3"/>
      <c r="O64"/>
      <c r="P64"/>
      <c r="Q64"/>
    </row>
    <row r="65" spans="1:17" s="766" customFormat="1" ht="18">
      <c r="A65"/>
      <c r="B65" s="1229" t="s">
        <v>3145</v>
      </c>
      <c r="C65" s="35"/>
      <c r="D65" s="35"/>
      <c r="E65" s="35"/>
      <c r="F65" s="1999" t="s">
        <v>835</v>
      </c>
      <c r="G65" s="31"/>
      <c r="H65" s="1265"/>
      <c r="J65"/>
      <c r="K65" s="3"/>
      <c r="L65" s="3"/>
      <c r="M65" s="3"/>
      <c r="N65" s="3"/>
      <c r="O65"/>
      <c r="P65"/>
      <c r="Q65"/>
    </row>
    <row r="66" spans="1:17" s="766" customFormat="1" ht="18">
      <c r="A66"/>
      <c r="B66" s="1229"/>
      <c r="C66" s="35"/>
      <c r="D66" s="35"/>
      <c r="E66" s="35"/>
      <c r="F66" s="1999"/>
      <c r="G66" s="31"/>
      <c r="H66" s="1265"/>
      <c r="J66"/>
      <c r="K66" s="3"/>
      <c r="L66" s="3"/>
      <c r="M66" s="3"/>
      <c r="N66" s="3"/>
      <c r="O66"/>
      <c r="P66"/>
      <c r="Q66"/>
    </row>
    <row r="67" spans="1:17" s="766" customFormat="1" ht="18">
      <c r="A67"/>
      <c r="B67" s="1229"/>
      <c r="C67" s="35"/>
      <c r="D67" s="35"/>
      <c r="E67" s="35"/>
      <c r="F67" s="1999"/>
      <c r="G67" s="31"/>
      <c r="H67" s="1265"/>
      <c r="J67"/>
      <c r="K67" s="3"/>
      <c r="L67" s="3"/>
      <c r="M67" s="3"/>
      <c r="N67" s="3"/>
      <c r="O67"/>
      <c r="P67"/>
      <c r="Q67"/>
    </row>
    <row r="68" spans="1:17" s="766" customFormat="1" ht="18">
      <c r="A68"/>
      <c r="B68" s="1225"/>
      <c r="C68" s="35"/>
      <c r="D68" s="35"/>
      <c r="E68" s="35"/>
      <c r="F68" s="1999"/>
      <c r="G68" s="31"/>
      <c r="H68" s="1265"/>
      <c r="J68"/>
      <c r="K68" s="3"/>
      <c r="L68" s="3"/>
      <c r="M68" s="3"/>
      <c r="N68" s="3"/>
      <c r="O68"/>
      <c r="P68"/>
      <c r="Q68"/>
    </row>
    <row r="69" spans="1:17" s="766" customFormat="1" ht="18">
      <c r="A69"/>
      <c r="B69" s="1225"/>
      <c r="C69" s="35"/>
      <c r="D69" s="35"/>
      <c r="E69" s="35"/>
      <c r="F69" s="2002" t="s">
        <v>836</v>
      </c>
      <c r="G69" s="33"/>
      <c r="H69" s="1266"/>
      <c r="J69"/>
      <c r="K69" s="3"/>
      <c r="L69" s="3"/>
      <c r="M69" s="3"/>
      <c r="N69" s="3"/>
      <c r="O69"/>
      <c r="P69"/>
      <c r="Q69"/>
    </row>
    <row r="70" spans="1:17" s="766" customFormat="1" ht="18">
      <c r="A70"/>
      <c r="B70" s="1225"/>
      <c r="C70" s="35"/>
      <c r="D70" s="35"/>
      <c r="E70" s="35"/>
      <c r="F70" s="1999" t="s">
        <v>837</v>
      </c>
      <c r="G70" s="31"/>
      <c r="H70" s="1265"/>
      <c r="J70"/>
      <c r="K70" s="3"/>
      <c r="L70" s="3"/>
      <c r="M70" s="3"/>
      <c r="N70" s="3"/>
      <c r="O70"/>
      <c r="P70"/>
      <c r="Q70"/>
    </row>
    <row r="71" spans="1:17" s="766" customFormat="1" ht="18">
      <c r="A71"/>
      <c r="B71" s="1225"/>
      <c r="C71" s="35"/>
      <c r="D71" s="35"/>
      <c r="E71" s="35"/>
      <c r="F71" s="1999"/>
      <c r="G71" s="31"/>
      <c r="H71" s="1265"/>
      <c r="J71"/>
      <c r="K71" s="3"/>
      <c r="L71" s="3"/>
      <c r="M71" s="3"/>
      <c r="N71" s="3"/>
      <c r="O71"/>
      <c r="P71"/>
      <c r="Q71"/>
    </row>
    <row r="72" spans="1:17" s="766" customFormat="1" ht="18">
      <c r="A72"/>
      <c r="B72" s="1225"/>
      <c r="C72" s="35"/>
      <c r="D72" s="35"/>
      <c r="E72" s="35"/>
      <c r="F72" s="1999"/>
      <c r="G72" s="31"/>
      <c r="H72" s="1265"/>
      <c r="J72"/>
      <c r="K72" s="3"/>
      <c r="L72" s="3"/>
      <c r="M72" s="3"/>
      <c r="N72" s="3"/>
      <c r="O72"/>
      <c r="P72"/>
      <c r="Q72"/>
    </row>
    <row r="73" spans="1:17" s="766" customFormat="1" ht="18">
      <c r="A73"/>
      <c r="B73" s="1225"/>
      <c r="C73" s="35"/>
      <c r="D73" s="35"/>
      <c r="E73" s="35"/>
      <c r="F73" s="1999"/>
      <c r="G73" s="31"/>
      <c r="H73" s="1265"/>
      <c r="J73"/>
      <c r="K73" s="3"/>
      <c r="L73" s="3"/>
      <c r="M73" s="3"/>
      <c r="N73" s="3"/>
      <c r="O73"/>
      <c r="P73"/>
      <c r="Q73"/>
    </row>
    <row r="74" spans="1:17" s="766" customFormat="1" ht="18">
      <c r="A74"/>
      <c r="B74" s="1225"/>
      <c r="C74" s="35"/>
      <c r="D74" s="35"/>
      <c r="E74" s="35"/>
      <c r="F74" s="1226" t="s">
        <v>838</v>
      </c>
      <c r="G74" s="36"/>
      <c r="H74" s="1267"/>
      <c r="J74"/>
      <c r="K74" s="3"/>
      <c r="L74" s="3"/>
      <c r="M74" s="3"/>
      <c r="N74" s="3"/>
      <c r="O74"/>
      <c r="P74"/>
      <c r="Q74"/>
    </row>
    <row r="75" spans="1:17" s="766" customFormat="1" ht="18">
      <c r="A75"/>
      <c r="B75" s="1225"/>
      <c r="C75" s="35"/>
      <c r="D75" s="35"/>
      <c r="E75" s="35"/>
      <c r="F75" s="2003" t="s">
        <v>834</v>
      </c>
      <c r="G75" s="37"/>
      <c r="H75" s="1268"/>
      <c r="J75"/>
      <c r="K75" s="3"/>
      <c r="L75" s="3"/>
      <c r="M75" s="3"/>
      <c r="N75" s="3"/>
      <c r="O75"/>
      <c r="P75"/>
      <c r="Q75"/>
    </row>
    <row r="76" spans="1:17" s="766" customFormat="1" ht="18.600000000000001" thickBot="1">
      <c r="A76"/>
      <c r="B76" s="1232"/>
      <c r="C76" s="1432"/>
      <c r="D76" s="1432"/>
      <c r="E76" s="1432"/>
      <c r="F76" s="1433" t="s">
        <v>2969</v>
      </c>
      <c r="G76" s="1438"/>
      <c r="H76" s="1439"/>
      <c r="J76"/>
      <c r="K76" s="3"/>
      <c r="L76" s="3"/>
      <c r="M76" s="3"/>
      <c r="N76" s="3"/>
      <c r="O76"/>
      <c r="P76"/>
      <c r="Q76"/>
    </row>
    <row r="77" spans="1:17" s="766" customFormat="1" ht="18">
      <c r="A77"/>
      <c r="B77" s="2195" t="s">
        <v>785</v>
      </c>
      <c r="C77" s="2196"/>
      <c r="D77" s="2196"/>
      <c r="E77" s="2196"/>
      <c r="F77" s="2196"/>
      <c r="G77" s="2196"/>
      <c r="H77" s="2197"/>
      <c r="J77"/>
      <c r="K77" s="3"/>
      <c r="L77" s="3"/>
      <c r="M77" s="3"/>
      <c r="N77" s="3"/>
      <c r="O77"/>
      <c r="P77"/>
      <c r="Q77"/>
    </row>
    <row r="78" spans="1:17" s="766" customFormat="1" ht="18">
      <c r="A78"/>
      <c r="B78" s="2198" t="s">
        <v>2780</v>
      </c>
      <c r="C78" s="2199"/>
      <c r="D78" s="2199"/>
      <c r="E78" s="2199"/>
      <c r="F78" s="2199"/>
      <c r="G78" s="2199"/>
      <c r="H78" s="2200"/>
      <c r="J78"/>
      <c r="K78" s="3"/>
      <c r="L78" s="3"/>
      <c r="M78" s="3"/>
      <c r="N78" s="3"/>
      <c r="O78"/>
      <c r="P78"/>
      <c r="Q78"/>
    </row>
    <row r="79" spans="1:17" s="766" customFormat="1" ht="18">
      <c r="A79"/>
      <c r="B79" s="1851"/>
      <c r="C79" s="1849"/>
      <c r="D79" s="1849"/>
      <c r="E79" s="1849"/>
      <c r="F79" s="1849"/>
      <c r="G79" s="2212" t="s">
        <v>3123</v>
      </c>
      <c r="H79" s="2213"/>
      <c r="J79"/>
      <c r="K79" s="3"/>
      <c r="L79" s="3"/>
      <c r="M79" s="3"/>
      <c r="N79" s="3"/>
      <c r="O79"/>
      <c r="P79"/>
      <c r="Q79"/>
    </row>
    <row r="80" spans="1:17" s="766" customFormat="1" ht="18">
      <c r="A80"/>
      <c r="B80" s="1235" t="s">
        <v>532</v>
      </c>
      <c r="C80" s="1236"/>
      <c r="D80" s="1236"/>
      <c r="E80" s="1271"/>
      <c r="F80" s="2190" t="s">
        <v>839</v>
      </c>
      <c r="G80" s="1237" t="str">
        <f>+G5</f>
        <v xml:space="preserve">As At </v>
      </c>
      <c r="H80" s="1238" t="str">
        <f>+H5</f>
        <v xml:space="preserve">As At </v>
      </c>
      <c r="J80"/>
      <c r="K80" s="3"/>
      <c r="L80" s="3"/>
      <c r="M80" s="3"/>
      <c r="N80" s="3"/>
      <c r="O80"/>
      <c r="P80"/>
      <c r="Q80"/>
    </row>
    <row r="81" spans="1:17" s="766" customFormat="1" ht="18">
      <c r="A81"/>
      <c r="B81" s="1239" t="s">
        <v>841</v>
      </c>
      <c r="C81" s="15"/>
      <c r="D81" s="15"/>
      <c r="E81" s="40"/>
      <c r="F81" s="2191"/>
      <c r="G81" s="41" t="str">
        <f>+G6</f>
        <v>March 31, 2023 (₹)</v>
      </c>
      <c r="H81" s="1272" t="str">
        <f>+H6</f>
        <v>March 31, 2022 (₹)</v>
      </c>
      <c r="J81"/>
      <c r="K81" s="3"/>
      <c r="L81" s="3"/>
      <c r="M81" s="3"/>
      <c r="N81" s="3"/>
      <c r="O81"/>
      <c r="P81"/>
      <c r="Q81"/>
    </row>
    <row r="82" spans="1:17" s="766" customFormat="1" ht="18">
      <c r="A82"/>
      <c r="B82" s="1247" t="s">
        <v>842</v>
      </c>
      <c r="C82" s="1999"/>
      <c r="D82" s="1999"/>
      <c r="E82" s="1999"/>
      <c r="F82" s="1273">
        <v>20</v>
      </c>
      <c r="G82" s="1906">
        <f>+G488</f>
        <v>10523.1770242</v>
      </c>
      <c r="H82" s="1907">
        <f>+H488</f>
        <v>11240.2151075</v>
      </c>
      <c r="J82"/>
      <c r="K82" s="3"/>
      <c r="L82" s="3"/>
      <c r="M82" s="3"/>
      <c r="N82" s="3"/>
      <c r="O82"/>
      <c r="P82"/>
      <c r="Q82"/>
    </row>
    <row r="83" spans="1:17" s="766" customFormat="1" ht="18">
      <c r="A83"/>
      <c r="B83" s="1247" t="s">
        <v>843</v>
      </c>
      <c r="C83" s="1999"/>
      <c r="D83" s="1999"/>
      <c r="E83" s="1999"/>
      <c r="F83" s="438">
        <v>21</v>
      </c>
      <c r="G83" s="1863">
        <f>+G492</f>
        <v>10.91313059849001</v>
      </c>
      <c r="H83" s="1281">
        <f>+H492</f>
        <v>13.9121861</v>
      </c>
      <c r="J83"/>
      <c r="K83" s="3"/>
      <c r="L83" s="3"/>
      <c r="M83" s="3"/>
      <c r="N83" s="3"/>
      <c r="O83"/>
      <c r="P83"/>
      <c r="Q83"/>
    </row>
    <row r="84" spans="1:17" s="766" customFormat="1" ht="18">
      <c r="A84"/>
      <c r="B84" s="1254" t="s">
        <v>844</v>
      </c>
      <c r="C84" s="1999"/>
      <c r="D84" s="1999"/>
      <c r="E84" s="1999"/>
      <c r="F84" s="437"/>
      <c r="G84" s="1908">
        <f>+G82+G83</f>
        <v>10534.09015479849</v>
      </c>
      <c r="H84" s="1909">
        <f>+H82+H83</f>
        <v>11254.1272936</v>
      </c>
      <c r="J84"/>
      <c r="K84" s="3"/>
      <c r="L84" s="3"/>
      <c r="M84" s="3"/>
      <c r="N84" s="3"/>
      <c r="O84"/>
      <c r="P84"/>
      <c r="Q84"/>
    </row>
    <row r="85" spans="1:17" s="766" customFormat="1" ht="18">
      <c r="A85"/>
      <c r="B85" s="1276" t="s">
        <v>845</v>
      </c>
      <c r="C85" s="1999"/>
      <c r="D85" s="1999"/>
      <c r="E85" s="1999"/>
      <c r="F85" s="437"/>
      <c r="G85" s="46"/>
      <c r="H85" s="1910"/>
      <c r="J85"/>
      <c r="K85" s="3"/>
      <c r="L85" s="3"/>
      <c r="M85" s="3"/>
      <c r="N85" s="3"/>
      <c r="O85"/>
      <c r="P85"/>
      <c r="Q85"/>
    </row>
    <row r="86" spans="1:17" ht="18">
      <c r="B86" s="1247" t="s">
        <v>846</v>
      </c>
      <c r="C86" s="1999"/>
      <c r="D86" s="1999"/>
      <c r="E86" s="1999"/>
      <c r="F86" s="438">
        <v>22</v>
      </c>
      <c r="G86" s="1863">
        <f>+G498</f>
        <v>8151.2370566636164</v>
      </c>
      <c r="H86" s="1281">
        <f>+H498</f>
        <v>8669.4216029999989</v>
      </c>
      <c r="I86" s="1144">
        <f>+G86-[75]BSPL!$E$81</f>
        <v>-815413121.42930496</v>
      </c>
    </row>
    <row r="87" spans="1:17" ht="18">
      <c r="B87" s="1247" t="s">
        <v>847</v>
      </c>
      <c r="C87" s="1999"/>
      <c r="D87" s="1999"/>
      <c r="E87" s="1999"/>
      <c r="F87" s="438"/>
      <c r="G87" s="1863">
        <v>0</v>
      </c>
      <c r="H87" s="1281">
        <v>0</v>
      </c>
    </row>
    <row r="88" spans="1:17" ht="18">
      <c r="B88" s="1277" t="s">
        <v>848</v>
      </c>
      <c r="C88" s="1999"/>
      <c r="D88" s="1999"/>
      <c r="E88" s="1999"/>
      <c r="F88" s="438">
        <v>23</v>
      </c>
      <c r="G88" s="1863">
        <f>+G502</f>
        <v>6.2306500000000256</v>
      </c>
      <c r="H88" s="1281">
        <f>+H502</f>
        <v>-9.88480282110703</v>
      </c>
    </row>
    <row r="89" spans="1:17" ht="18">
      <c r="B89" s="1247" t="s">
        <v>849</v>
      </c>
      <c r="C89" s="1999"/>
      <c r="D89" s="1999"/>
      <c r="E89" s="1999"/>
      <c r="F89" s="438">
        <v>24</v>
      </c>
      <c r="G89" s="1863">
        <f>+G507</f>
        <v>184.73732000000001</v>
      </c>
      <c r="H89" s="1281">
        <f>+H507</f>
        <v>245.33935</v>
      </c>
    </row>
    <row r="90" spans="1:17" ht="18">
      <c r="B90" s="1247" t="s">
        <v>850</v>
      </c>
      <c r="C90" s="1999"/>
      <c r="D90" s="1999"/>
      <c r="E90" s="24"/>
      <c r="F90" s="438">
        <v>25</v>
      </c>
      <c r="G90" s="1863">
        <f>+G511</f>
        <v>85.876410000000007</v>
      </c>
      <c r="H90" s="1281">
        <f>+H511</f>
        <v>76.029531500000004</v>
      </c>
      <c r="I90" s="767">
        <f>+G90-[75]BSPL!$E$85</f>
        <v>-8709729.12359</v>
      </c>
    </row>
    <row r="91" spans="1:17" ht="18">
      <c r="B91" s="2110" t="s">
        <v>851</v>
      </c>
      <c r="C91" s="2111"/>
      <c r="D91" s="2009"/>
      <c r="E91" s="439"/>
      <c r="F91" s="438">
        <v>2</v>
      </c>
      <c r="G91" s="1863">
        <f>+Depreciation!G70/A1</f>
        <v>180.81666999999999</v>
      </c>
      <c r="H91" s="1281">
        <f>17957748.4913256/A1</f>
        <v>179.57748491325597</v>
      </c>
    </row>
    <row r="92" spans="1:17" ht="18">
      <c r="B92" s="1247" t="s">
        <v>852</v>
      </c>
      <c r="C92" s="1999"/>
      <c r="D92" s="1999"/>
      <c r="E92" s="24"/>
      <c r="F92" s="438">
        <v>26</v>
      </c>
      <c r="G92" s="1863">
        <f>+G565</f>
        <v>2422.9425275999997</v>
      </c>
      <c r="H92" s="1281">
        <f>+H565</f>
        <v>2062.7868594000001</v>
      </c>
    </row>
    <row r="93" spans="1:17" ht="18">
      <c r="B93" s="1254" t="s">
        <v>853</v>
      </c>
      <c r="C93" s="1999"/>
      <c r="D93" s="1999"/>
      <c r="E93" s="24"/>
      <c r="F93" s="437"/>
      <c r="G93" s="1908">
        <f>+SUM(G86:G92)</f>
        <v>11031.840634263617</v>
      </c>
      <c r="H93" s="1909">
        <f>+SUM(H86:H92)</f>
        <v>11223.270025992148</v>
      </c>
    </row>
    <row r="94" spans="1:17" ht="18">
      <c r="B94" s="1256" t="s">
        <v>854</v>
      </c>
      <c r="C94" s="2015"/>
      <c r="D94" s="2015"/>
      <c r="E94" s="440"/>
      <c r="F94" s="437"/>
      <c r="G94" s="1911">
        <f>+G84-G93</f>
        <v>-497.75047946512677</v>
      </c>
      <c r="H94" s="1912">
        <f>+H84-H93</f>
        <v>30.857267607852918</v>
      </c>
    </row>
    <row r="95" spans="1:17" ht="18">
      <c r="B95" s="2110" t="s">
        <v>855</v>
      </c>
      <c r="C95" s="2111"/>
      <c r="D95" s="2009"/>
      <c r="E95" s="439"/>
      <c r="F95" s="437"/>
      <c r="G95" s="46">
        <v>0</v>
      </c>
      <c r="H95" s="1910">
        <v>0</v>
      </c>
    </row>
    <row r="96" spans="1:17" ht="18">
      <c r="B96" s="1249"/>
      <c r="C96" s="2009"/>
      <c r="D96" s="2009"/>
      <c r="E96" s="2009"/>
      <c r="F96" s="437"/>
      <c r="G96" s="46"/>
      <c r="H96" s="1910"/>
    </row>
    <row r="97" spans="2:9" ht="18">
      <c r="B97" s="1254" t="s">
        <v>856</v>
      </c>
      <c r="C97" s="1999"/>
      <c r="D97" s="1999"/>
      <c r="E97" s="1999"/>
      <c r="F97" s="46"/>
      <c r="G97" s="1911">
        <f>+G94-G95</f>
        <v>-497.75047946512677</v>
      </c>
      <c r="H97" s="1912">
        <f>+H94-H95</f>
        <v>30.857267607852918</v>
      </c>
      <c r="I97" s="767">
        <f>+G97+G91</f>
        <v>-316.93380946512679</v>
      </c>
    </row>
    <row r="98" spans="2:9" ht="18">
      <c r="B98" s="1247" t="s">
        <v>857</v>
      </c>
      <c r="C98" s="1999"/>
      <c r="D98" s="1999"/>
      <c r="E98" s="1999"/>
      <c r="F98" s="46"/>
      <c r="G98" s="46"/>
      <c r="H98" s="1910"/>
    </row>
    <row r="99" spans="2:9" ht="18">
      <c r="B99" s="1247" t="s">
        <v>858</v>
      </c>
      <c r="C99" s="1999"/>
      <c r="D99" s="1999"/>
      <c r="E99" s="1999"/>
      <c r="F99" s="438"/>
      <c r="G99" s="1913">
        <v>0</v>
      </c>
      <c r="H99" s="1377">
        <f>2584428.9863122/A1</f>
        <v>25.844289863121997</v>
      </c>
    </row>
    <row r="100" spans="2:9" ht="18">
      <c r="B100" s="1247" t="s">
        <v>859</v>
      </c>
      <c r="C100" s="1999"/>
      <c r="D100" s="1999"/>
      <c r="E100" s="1999"/>
      <c r="F100" s="438"/>
      <c r="G100" s="1913">
        <v>0</v>
      </c>
      <c r="H100" s="1377">
        <v>0</v>
      </c>
    </row>
    <row r="101" spans="2:9" ht="18">
      <c r="B101" s="1247" t="s">
        <v>2924</v>
      </c>
      <c r="C101" s="1999"/>
      <c r="D101" s="1999"/>
      <c r="E101" s="1999"/>
      <c r="F101" s="438"/>
      <c r="G101" s="53">
        <v>0</v>
      </c>
      <c r="H101" s="1281">
        <v>0</v>
      </c>
    </row>
    <row r="102" spans="2:9" ht="18">
      <c r="B102" s="1247" t="s">
        <v>860</v>
      </c>
      <c r="C102" s="1999"/>
      <c r="D102" s="1999"/>
      <c r="E102" s="1999"/>
      <c r="F102" s="438"/>
      <c r="G102" s="53">
        <f>+DT!I34/A1</f>
        <v>-120.45372031225195</v>
      </c>
      <c r="H102" s="1281">
        <f>-3323991.21607325/A1</f>
        <v>-33.239912160732501</v>
      </c>
      <c r="I102" s="1144">
        <f>+G102-[75]BSPL!$E$97</f>
        <v>11872837.985162186</v>
      </c>
    </row>
    <row r="103" spans="2:9" ht="18">
      <c r="B103" s="1247"/>
      <c r="C103" s="1999"/>
      <c r="D103" s="1999"/>
      <c r="E103" s="1999"/>
      <c r="F103" s="438"/>
      <c r="G103" s="1914">
        <f>+SUM(G99:G102)</f>
        <v>-120.45372031225195</v>
      </c>
      <c r="H103" s="1870">
        <f>+SUM(H99:H102)</f>
        <v>-7.3956222976105046</v>
      </c>
    </row>
    <row r="104" spans="2:9" ht="18.600000000000001" thickBot="1">
      <c r="B104" s="1254" t="s">
        <v>861</v>
      </c>
      <c r="C104" s="1999"/>
      <c r="D104" s="1999"/>
      <c r="E104" s="1999"/>
      <c r="F104" s="437"/>
      <c r="G104" s="1915">
        <f>+G97-G103</f>
        <v>-377.29675915287481</v>
      </c>
      <c r="H104" s="1916">
        <f>+H97-H103</f>
        <v>38.252889905463419</v>
      </c>
    </row>
    <row r="105" spans="2:9" ht="18.600000000000001" thickTop="1">
      <c r="B105" s="2214"/>
      <c r="C105" s="2215"/>
      <c r="D105" s="2016"/>
      <c r="E105" s="24"/>
      <c r="F105" s="437"/>
      <c r="G105" s="46"/>
      <c r="H105" s="1910"/>
    </row>
    <row r="106" spans="2:9" ht="18">
      <c r="B106" s="2214" t="s">
        <v>312</v>
      </c>
      <c r="C106" s="2215"/>
      <c r="D106" s="2016"/>
      <c r="E106" s="24"/>
      <c r="F106" s="438">
        <v>27</v>
      </c>
      <c r="G106" s="1917"/>
      <c r="H106" s="1866"/>
    </row>
    <row r="107" spans="2:9" ht="18">
      <c r="B107" s="1277" t="s">
        <v>862</v>
      </c>
      <c r="C107" s="2017"/>
      <c r="D107" s="2017"/>
      <c r="E107" s="24"/>
      <c r="F107" s="436"/>
      <c r="G107" s="535">
        <f>+G578</f>
        <v>4.5342099999999999</v>
      </c>
      <c r="H107" s="1910">
        <f>+H578</f>
        <v>11.040749999999999</v>
      </c>
    </row>
    <row r="108" spans="2:9" ht="18">
      <c r="B108" s="1277" t="s">
        <v>863</v>
      </c>
      <c r="C108" s="2017"/>
      <c r="D108" s="2017"/>
      <c r="E108" s="24"/>
      <c r="F108" s="436"/>
      <c r="G108" s="535">
        <v>0</v>
      </c>
      <c r="H108" s="1910">
        <v>0</v>
      </c>
    </row>
    <row r="109" spans="2:9" ht="18">
      <c r="B109" s="1277" t="s">
        <v>864</v>
      </c>
      <c r="C109" s="2017"/>
      <c r="D109" s="2017"/>
      <c r="E109" s="24"/>
      <c r="F109" s="436"/>
      <c r="G109" s="535">
        <v>0</v>
      </c>
      <c r="H109" s="1910">
        <v>0</v>
      </c>
    </row>
    <row r="110" spans="2:9" ht="18">
      <c r="B110" s="1277" t="s">
        <v>863</v>
      </c>
      <c r="C110" s="2018"/>
      <c r="D110" s="2018"/>
      <c r="E110" s="24"/>
      <c r="F110" s="436"/>
      <c r="G110" s="1918">
        <v>0</v>
      </c>
      <c r="H110" s="1919">
        <v>0</v>
      </c>
    </row>
    <row r="111" spans="2:9" ht="18">
      <c r="B111" s="1241" t="s">
        <v>865</v>
      </c>
      <c r="C111" s="2019"/>
      <c r="D111" s="2019"/>
      <c r="E111" s="24"/>
      <c r="F111" s="436"/>
      <c r="G111" s="1918">
        <f>+SUM(G107:G110)</f>
        <v>4.5342099999999999</v>
      </c>
      <c r="H111" s="1919">
        <f>+SUM(H107:H110)</f>
        <v>11.040749999999999</v>
      </c>
    </row>
    <row r="112" spans="2:9" ht="18">
      <c r="B112" s="2203"/>
      <c r="C112" s="2204"/>
      <c r="D112" s="2204"/>
      <c r="E112" s="2205"/>
      <c r="F112" s="437"/>
      <c r="G112" s="46"/>
      <c r="H112" s="1910"/>
    </row>
    <row r="113" spans="1:17" ht="18">
      <c r="B113" s="1241"/>
      <c r="C113" s="2019"/>
      <c r="D113" s="2019"/>
      <c r="E113" s="24"/>
      <c r="F113" s="437"/>
      <c r="G113" s="46"/>
      <c r="H113" s="1910"/>
    </row>
    <row r="114" spans="1:17" ht="18.600000000000001" thickBot="1">
      <c r="B114" s="2203" t="s">
        <v>866</v>
      </c>
      <c r="C114" s="2204"/>
      <c r="D114" s="2020"/>
      <c r="E114" s="24"/>
      <c r="F114" s="437"/>
      <c r="G114" s="1920">
        <f>+G104+G111</f>
        <v>-372.76254915287484</v>
      </c>
      <c r="H114" s="1916">
        <f>+H104+H111</f>
        <v>49.293639905463422</v>
      </c>
      <c r="I114" s="767">
        <f>+G114+51556224.84</f>
        <v>51555852.077450849</v>
      </c>
    </row>
    <row r="115" spans="1:17" ht="18.600000000000001" thickTop="1">
      <c r="B115" s="2203"/>
      <c r="C115" s="2204"/>
      <c r="D115" s="2020"/>
      <c r="E115" s="24"/>
      <c r="F115" s="437"/>
      <c r="G115" s="44"/>
      <c r="H115" s="1242"/>
      <c r="I115" s="767">
        <f>18968916-G91</f>
        <v>18968735.183329999</v>
      </c>
    </row>
    <row r="116" spans="1:17" ht="18">
      <c r="B116" s="1247" t="s">
        <v>867</v>
      </c>
      <c r="C116" s="1999"/>
      <c r="D116" s="1999"/>
      <c r="E116" s="1999"/>
      <c r="F116" s="441">
        <v>28</v>
      </c>
      <c r="G116" s="53">
        <f t="shared" ref="G116:H117" si="0">+G583</f>
        <v>-14.014101849293246</v>
      </c>
      <c r="H116" s="1281">
        <f t="shared" si="0"/>
        <v>1.4208441555888227</v>
      </c>
    </row>
    <row r="117" spans="1:17" ht="18">
      <c r="B117" s="1247" t="s">
        <v>868</v>
      </c>
      <c r="C117" s="1999"/>
      <c r="D117" s="1999"/>
      <c r="E117" s="1999"/>
      <c r="F117" s="441"/>
      <c r="G117" s="53">
        <f t="shared" si="0"/>
        <v>-14.014101849293246</v>
      </c>
      <c r="H117" s="1281">
        <f t="shared" si="0"/>
        <v>1.4208441555888227</v>
      </c>
    </row>
    <row r="118" spans="1:17" s="766" customFormat="1" ht="18">
      <c r="A118"/>
      <c r="B118" s="1261" t="s">
        <v>821</v>
      </c>
      <c r="C118" s="442"/>
      <c r="D118" s="442"/>
      <c r="E118" s="443"/>
      <c r="F118" s="1079" t="s">
        <v>3134</v>
      </c>
      <c r="G118" s="54"/>
      <c r="H118" s="1262"/>
      <c r="J118"/>
      <c r="K118" s="3"/>
      <c r="L118" s="3"/>
      <c r="M118" s="3"/>
      <c r="N118" s="3"/>
      <c r="O118"/>
      <c r="P118"/>
      <c r="Q118"/>
    </row>
    <row r="119" spans="1:17" s="766" customFormat="1" ht="18">
      <c r="A119"/>
      <c r="B119" s="1256"/>
      <c r="C119" s="2015"/>
      <c r="D119" s="2015"/>
      <c r="E119" s="2016"/>
      <c r="F119" s="1282"/>
      <c r="G119" s="29"/>
      <c r="H119" s="1263"/>
      <c r="J119"/>
      <c r="K119" s="3"/>
      <c r="L119" s="3"/>
      <c r="M119" s="3"/>
      <c r="N119" s="3"/>
      <c r="O119"/>
      <c r="P119"/>
      <c r="Q119"/>
    </row>
    <row r="120" spans="1:17" s="766" customFormat="1" ht="18">
      <c r="A120"/>
      <c r="B120" s="1283" t="s">
        <v>822</v>
      </c>
      <c r="C120" s="34"/>
      <c r="D120" s="34"/>
      <c r="E120" s="34"/>
      <c r="F120" s="1959"/>
      <c r="G120" s="31"/>
      <c r="H120" s="1265"/>
      <c r="J120"/>
      <c r="K120" s="3"/>
      <c r="L120" s="3"/>
      <c r="M120" s="3"/>
      <c r="N120" s="3"/>
      <c r="O120"/>
      <c r="P120"/>
      <c r="Q120"/>
    </row>
    <row r="121" spans="1:17" s="766" customFormat="1" ht="18">
      <c r="A121"/>
      <c r="B121" s="1222" t="str">
        <f>+B50</f>
        <v>As per our report of even date</v>
      </c>
      <c r="C121" s="1223"/>
      <c r="D121" s="1223"/>
      <c r="E121" s="1223"/>
      <c r="F121" s="1959" t="s">
        <v>824</v>
      </c>
      <c r="G121" s="31"/>
      <c r="H121" s="1265"/>
      <c r="J121"/>
      <c r="K121" s="3"/>
      <c r="L121" s="3"/>
      <c r="M121" s="3"/>
      <c r="N121" s="3"/>
      <c r="O121"/>
      <c r="P121"/>
      <c r="Q121"/>
    </row>
    <row r="122" spans="1:17" s="766" customFormat="1" ht="18">
      <c r="A122"/>
      <c r="B122" s="1222"/>
      <c r="C122" s="1223"/>
      <c r="D122" s="1223"/>
      <c r="E122" s="1223"/>
      <c r="F122" s="1959"/>
      <c r="G122" s="31"/>
      <c r="H122" s="1265"/>
      <c r="J122"/>
      <c r="K122" s="3"/>
      <c r="L122" s="3"/>
      <c r="M122" s="3"/>
      <c r="N122" s="3"/>
      <c r="O122"/>
      <c r="P122"/>
      <c r="Q122"/>
    </row>
    <row r="123" spans="1:17" s="766" customFormat="1" ht="18">
      <c r="A123"/>
      <c r="B123" s="1222"/>
      <c r="C123" s="1223"/>
      <c r="D123" s="1223"/>
      <c r="E123" s="1223"/>
      <c r="F123" s="1959"/>
      <c r="G123" s="31"/>
      <c r="H123" s="1265"/>
      <c r="J123"/>
      <c r="K123" s="3"/>
      <c r="L123" s="3"/>
      <c r="M123" s="3"/>
      <c r="N123" s="3"/>
      <c r="O123"/>
      <c r="P123"/>
      <c r="Q123"/>
    </row>
    <row r="124" spans="1:17" s="766" customFormat="1" ht="18">
      <c r="A124"/>
      <c r="B124" s="1225"/>
      <c r="C124" s="1999"/>
      <c r="D124" s="1999"/>
      <c r="E124" s="1999"/>
      <c r="F124" s="1959"/>
      <c r="G124" s="31"/>
      <c r="H124" s="1265"/>
      <c r="J124"/>
      <c r="K124" s="3"/>
      <c r="L124" s="3"/>
      <c r="M124" s="3"/>
      <c r="N124" s="3"/>
      <c r="O124"/>
      <c r="P124"/>
      <c r="Q124"/>
    </row>
    <row r="125" spans="1:17" s="766" customFormat="1" ht="18">
      <c r="A125"/>
      <c r="B125" s="1284" t="str">
        <f>+B54</f>
        <v>FOR DARAK AND ASSOCIATES</v>
      </c>
      <c r="C125" s="1226"/>
      <c r="D125" s="1226"/>
      <c r="E125" s="1226"/>
      <c r="F125" s="1958" t="str">
        <f>+F54</f>
        <v>ANIL KUMAR LAKHOTIYA - MANAGING  DIRECTOR</v>
      </c>
      <c r="G125" s="31"/>
      <c r="H125" s="1265"/>
      <c r="J125"/>
      <c r="K125" s="3"/>
      <c r="L125" s="3"/>
      <c r="M125" s="3"/>
      <c r="N125" s="3"/>
      <c r="O125"/>
      <c r="P125"/>
      <c r="Q125"/>
    </row>
    <row r="126" spans="1:17" s="766" customFormat="1" ht="18">
      <c r="A126"/>
      <c r="B126" s="1284" t="str">
        <f>+B55</f>
        <v>CHARTERED ACCOUNTANTS</v>
      </c>
      <c r="C126" s="1226"/>
      <c r="D126" s="1226"/>
      <c r="E126" s="1226"/>
      <c r="F126" s="1959" t="str">
        <f>+F55</f>
        <v>(DIN:00367361)</v>
      </c>
      <c r="G126" s="31"/>
      <c r="H126" s="1265"/>
      <c r="J126"/>
      <c r="K126" s="3"/>
      <c r="L126" s="3"/>
      <c r="M126" s="3"/>
      <c r="N126" s="3"/>
      <c r="O126"/>
      <c r="P126"/>
      <c r="Q126"/>
    </row>
    <row r="127" spans="1:17" s="766" customFormat="1" ht="18">
      <c r="A127"/>
      <c r="B127" s="1284" t="str">
        <f>+B56</f>
        <v>FIRM REGISTRATION NO.: 132818W</v>
      </c>
      <c r="C127" s="1999"/>
      <c r="D127" s="1999"/>
      <c r="E127" s="1999"/>
      <c r="F127" s="2002"/>
      <c r="G127" s="33"/>
      <c r="H127" s="1266"/>
      <c r="J127"/>
      <c r="K127" s="3"/>
      <c r="L127" s="3"/>
      <c r="M127" s="3"/>
      <c r="N127" s="3"/>
      <c r="O127"/>
      <c r="P127"/>
      <c r="Q127"/>
    </row>
    <row r="128" spans="1:17" s="766" customFormat="1" ht="18">
      <c r="A128"/>
      <c r="B128" s="1284"/>
      <c r="C128" s="1999"/>
      <c r="D128" s="1999"/>
      <c r="E128" s="1999"/>
      <c r="F128" s="1999"/>
      <c r="G128" s="31"/>
      <c r="H128" s="1265"/>
      <c r="J128"/>
      <c r="K128" s="3"/>
      <c r="L128" s="3"/>
      <c r="M128" s="3"/>
      <c r="N128" s="3"/>
      <c r="O128"/>
      <c r="P128"/>
      <c r="Q128"/>
    </row>
    <row r="129" spans="1:17" s="766" customFormat="1" ht="18">
      <c r="A129"/>
      <c r="B129" s="1284"/>
      <c r="C129" s="1999"/>
      <c r="D129" s="1999"/>
      <c r="E129" s="1999"/>
      <c r="F129" s="1226" t="str">
        <f>+F59</f>
        <v>KAILASH AGARWAL - WHOLE TIME DIRECTOR</v>
      </c>
      <c r="G129" s="31"/>
      <c r="H129" s="1265"/>
      <c r="J129"/>
      <c r="K129" s="3"/>
      <c r="L129" s="3"/>
      <c r="M129" s="3"/>
      <c r="N129" s="3"/>
      <c r="O129"/>
      <c r="P129"/>
      <c r="Q129"/>
    </row>
    <row r="130" spans="1:17" s="766" customFormat="1" ht="18">
      <c r="A130"/>
      <c r="B130" s="1284"/>
      <c r="C130" s="1226"/>
      <c r="D130" s="1226"/>
      <c r="E130" s="1226"/>
      <c r="F130" s="1999" t="str">
        <f>+F60</f>
        <v>(DIN:00367292)</v>
      </c>
      <c r="G130" s="31"/>
      <c r="H130" s="1265"/>
      <c r="J130"/>
      <c r="K130" s="3"/>
      <c r="L130" s="3"/>
      <c r="M130" s="3"/>
      <c r="N130" s="3"/>
      <c r="O130"/>
      <c r="P130"/>
      <c r="Q130"/>
    </row>
    <row r="131" spans="1:17" s="766" customFormat="1" ht="18">
      <c r="A131"/>
      <c r="B131" s="1284"/>
      <c r="C131" s="35"/>
      <c r="D131" s="35"/>
      <c r="E131" s="35"/>
      <c r="F131" s="1999"/>
      <c r="G131" s="31"/>
      <c r="H131" s="1265"/>
      <c r="J131"/>
      <c r="K131" s="3"/>
      <c r="L131" s="3"/>
      <c r="M131" s="3"/>
      <c r="N131" s="3"/>
      <c r="O131"/>
      <c r="P131"/>
      <c r="Q131"/>
    </row>
    <row r="132" spans="1:17" s="766" customFormat="1" ht="18">
      <c r="A132"/>
      <c r="B132" s="1225" t="str">
        <f t="shared" ref="B132:B137" si="1">+B60</f>
        <v>SUMIT M. DARAK</v>
      </c>
      <c r="C132" s="35"/>
      <c r="D132" s="35"/>
      <c r="E132" s="35"/>
      <c r="F132" s="1959"/>
      <c r="G132" s="31"/>
      <c r="H132" s="1265"/>
      <c r="J132"/>
      <c r="K132" s="3"/>
      <c r="L132" s="3"/>
      <c r="M132" s="3"/>
      <c r="N132" s="3"/>
      <c r="O132"/>
      <c r="P132"/>
      <c r="Q132"/>
    </row>
    <row r="133" spans="1:17" s="766" customFormat="1" ht="18">
      <c r="A133"/>
      <c r="B133" s="1225" t="str">
        <f t="shared" si="1"/>
        <v>PARTNER</v>
      </c>
      <c r="C133" s="35"/>
      <c r="D133" s="35"/>
      <c r="E133" s="35"/>
      <c r="F133" s="1959"/>
      <c r="G133" s="31"/>
      <c r="H133" s="1265"/>
      <c r="J133"/>
      <c r="K133" s="3"/>
      <c r="L133" s="3"/>
      <c r="M133" s="3"/>
      <c r="N133" s="3"/>
      <c r="O133"/>
      <c r="P133"/>
      <c r="Q133"/>
    </row>
    <row r="134" spans="1:17" s="766" customFormat="1" ht="18">
      <c r="A134"/>
      <c r="B134" s="1285" t="str">
        <f t="shared" si="1"/>
        <v>MEMBERSHIP NO. : 141902</v>
      </c>
      <c r="C134" s="35"/>
      <c r="D134" s="35"/>
      <c r="E134" s="35"/>
      <c r="F134" s="2193" t="str">
        <f>+F64</f>
        <v>JARNAIL SINGH SAINI - CHIEF FINANCIAL OFFICER &amp; EXECUTIVE DIRECTOR</v>
      </c>
      <c r="G134" s="2193"/>
      <c r="H134" s="2194"/>
      <c r="J134"/>
      <c r="K134" s="3"/>
      <c r="L134" s="3"/>
      <c r="M134" s="3"/>
      <c r="N134" s="3"/>
      <c r="O134"/>
      <c r="P134"/>
      <c r="Q134"/>
    </row>
    <row r="135" spans="1:17" s="766" customFormat="1" ht="18">
      <c r="A135"/>
      <c r="B135" s="1229" t="str">
        <f t="shared" si="1"/>
        <v>Place: Nagpur</v>
      </c>
      <c r="C135" s="35"/>
      <c r="D135" s="35"/>
      <c r="E135" s="35"/>
      <c r="F135" s="2201" t="str">
        <f>+F65</f>
        <v>(DIN:00367656)</v>
      </c>
      <c r="G135" s="2201"/>
      <c r="H135" s="2202"/>
      <c r="J135"/>
      <c r="K135" s="3"/>
      <c r="L135" s="3"/>
      <c r="M135" s="3"/>
      <c r="N135" s="3"/>
      <c r="O135"/>
      <c r="P135"/>
      <c r="Q135"/>
    </row>
    <row r="136" spans="1:17" s="766" customFormat="1" ht="18">
      <c r="A136"/>
      <c r="B136" s="1229" t="str">
        <f t="shared" si="1"/>
        <v>Date: 27/05/2023</v>
      </c>
      <c r="C136" s="1999"/>
      <c r="D136" s="1999"/>
      <c r="E136" s="1999"/>
      <c r="F136" s="1999"/>
      <c r="G136" s="31"/>
      <c r="H136" s="1265"/>
      <c r="J136"/>
      <c r="K136" s="3"/>
      <c r="L136" s="3"/>
      <c r="M136" s="3"/>
      <c r="N136" s="3"/>
      <c r="O136"/>
      <c r="P136"/>
      <c r="Q136"/>
    </row>
    <row r="137" spans="1:17" s="766" customFormat="1" ht="18">
      <c r="A137"/>
      <c r="B137" s="1229" t="str">
        <f t="shared" si="1"/>
        <v>UDIN: 23141902BGXWON4071</v>
      </c>
      <c r="C137" s="1999"/>
      <c r="D137" s="1999"/>
      <c r="E137" s="1999"/>
      <c r="F137" s="1999"/>
      <c r="G137" s="31"/>
      <c r="H137" s="1265"/>
      <c r="J137"/>
      <c r="K137" s="3"/>
      <c r="L137" s="3"/>
      <c r="M137" s="3"/>
      <c r="N137" s="3"/>
      <c r="O137"/>
      <c r="P137"/>
      <c r="Q137"/>
    </row>
    <row r="138" spans="1:17" s="766" customFormat="1" ht="18">
      <c r="A138"/>
      <c r="B138" s="1229"/>
      <c r="C138" s="1999"/>
      <c r="D138" s="1999"/>
      <c r="E138" s="1999"/>
      <c r="F138" s="1999"/>
      <c r="G138" s="31"/>
      <c r="H138" s="1265"/>
      <c r="J138"/>
      <c r="K138" s="3"/>
      <c r="L138" s="3"/>
      <c r="M138" s="3"/>
      <c r="N138" s="3"/>
      <c r="O138"/>
      <c r="P138"/>
      <c r="Q138"/>
    </row>
    <row r="139" spans="1:17" s="766" customFormat="1" ht="18">
      <c r="A139"/>
      <c r="B139" s="1229"/>
      <c r="C139" s="1999"/>
      <c r="D139" s="1999"/>
      <c r="E139" s="1999"/>
      <c r="F139" s="1226" t="str">
        <f>+F69</f>
        <v>OMPRAKASH RATHI - WHOLE TIME DIRECTOR</v>
      </c>
      <c r="G139" s="31"/>
      <c r="H139" s="1265"/>
      <c r="J139"/>
      <c r="K139" s="3"/>
      <c r="L139" s="3"/>
      <c r="M139" s="3"/>
      <c r="N139" s="3"/>
      <c r="O139"/>
      <c r="P139"/>
      <c r="Q139"/>
    </row>
    <row r="140" spans="1:17" s="766" customFormat="1" ht="18">
      <c r="A140"/>
      <c r="B140" s="1229"/>
      <c r="C140" s="1999"/>
      <c r="D140" s="1999"/>
      <c r="E140" s="1999"/>
      <c r="F140" s="2003" t="str">
        <f>+F70</f>
        <v>(DIN:00895316)</v>
      </c>
      <c r="G140" s="33"/>
      <c r="H140" s="1266"/>
      <c r="J140"/>
      <c r="K140" s="3"/>
      <c r="L140" s="3"/>
      <c r="M140" s="3"/>
      <c r="N140" s="3"/>
      <c r="O140"/>
      <c r="P140"/>
      <c r="Q140"/>
    </row>
    <row r="141" spans="1:17" s="766" customFormat="1" ht="18">
      <c r="A141"/>
      <c r="B141" s="1229"/>
      <c r="C141" s="1999"/>
      <c r="D141" s="1999"/>
      <c r="E141" s="1999"/>
      <c r="F141" s="1999"/>
      <c r="G141" s="31"/>
      <c r="H141" s="1265"/>
      <c r="J141"/>
      <c r="K141" s="3"/>
      <c r="L141" s="3"/>
      <c r="M141" s="3"/>
      <c r="N141" s="3"/>
      <c r="O141"/>
      <c r="P141"/>
      <c r="Q141"/>
    </row>
    <row r="142" spans="1:17" s="766" customFormat="1" ht="18">
      <c r="A142"/>
      <c r="B142" s="1229"/>
      <c r="C142" s="1999"/>
      <c r="D142" s="1999"/>
      <c r="E142" s="1999"/>
      <c r="F142" s="1999"/>
      <c r="G142" s="31"/>
      <c r="H142" s="1265"/>
      <c r="J142"/>
      <c r="K142" s="3"/>
      <c r="L142" s="3"/>
      <c r="M142" s="3"/>
      <c r="N142" s="3"/>
      <c r="O142"/>
      <c r="P142"/>
      <c r="Q142"/>
    </row>
    <row r="143" spans="1:17" s="766" customFormat="1" ht="18">
      <c r="A143"/>
      <c r="B143" s="1229"/>
      <c r="C143" s="1999"/>
      <c r="D143" s="1999"/>
      <c r="E143" s="1999"/>
      <c r="F143" s="1999"/>
      <c r="G143" s="31"/>
      <c r="H143" s="1265"/>
      <c r="J143"/>
      <c r="K143" s="3"/>
      <c r="L143" s="3"/>
      <c r="M143" s="3"/>
      <c r="N143" s="3"/>
      <c r="O143"/>
      <c r="P143"/>
      <c r="Q143"/>
    </row>
    <row r="144" spans="1:17" s="766" customFormat="1" ht="18">
      <c r="A144"/>
      <c r="B144" s="1229"/>
      <c r="C144" s="1999"/>
      <c r="D144" s="1999"/>
      <c r="E144" s="1999"/>
      <c r="F144" s="1226" t="str">
        <f>+F74</f>
        <v>MAYANK LUNIYA - COMPANY SECRETARY</v>
      </c>
      <c r="G144" s="31"/>
      <c r="H144" s="1265"/>
      <c r="J144"/>
      <c r="K144" s="3"/>
      <c r="L144" s="3"/>
      <c r="M144" s="3"/>
      <c r="N144" s="3"/>
      <c r="O144"/>
      <c r="P144"/>
      <c r="Q144"/>
    </row>
    <row r="145" spans="1:17" s="766" customFormat="1" ht="18">
      <c r="A145"/>
      <c r="B145" s="1229"/>
      <c r="C145" s="1999"/>
      <c r="D145" s="1999"/>
      <c r="E145" s="1999"/>
      <c r="F145" s="1959" t="str">
        <f>+F75</f>
        <v>Place: Nagpur</v>
      </c>
      <c r="G145" s="31"/>
      <c r="H145" s="1265"/>
      <c r="J145"/>
      <c r="K145" s="3"/>
      <c r="L145" s="3"/>
      <c r="M145" s="3"/>
      <c r="N145" s="3"/>
      <c r="O145"/>
      <c r="P145"/>
      <c r="Q145"/>
    </row>
    <row r="146" spans="1:17" s="766" customFormat="1" ht="18.600000000000001" thickBot="1">
      <c r="A146"/>
      <c r="B146" s="1440"/>
      <c r="C146" s="1441"/>
      <c r="D146" s="1441"/>
      <c r="E146" s="1441"/>
      <c r="F146" s="1433" t="str">
        <f>+F76</f>
        <v>Date: 27/05/2023</v>
      </c>
      <c r="G146" s="1435"/>
      <c r="H146" s="1436"/>
      <c r="J146"/>
      <c r="K146" s="3"/>
      <c r="L146" s="3"/>
      <c r="M146" s="3"/>
      <c r="N146" s="3"/>
      <c r="O146"/>
      <c r="P146"/>
      <c r="Q146"/>
    </row>
    <row r="147" spans="1:17" s="766" customFormat="1" ht="18">
      <c r="A147"/>
      <c r="B147" s="2206" t="s">
        <v>785</v>
      </c>
      <c r="C147" s="2207"/>
      <c r="D147" s="2207"/>
      <c r="E147" s="2207"/>
      <c r="F147" s="2207"/>
      <c r="G147" s="2207"/>
      <c r="H147" s="2208"/>
      <c r="J147"/>
      <c r="K147" s="3"/>
      <c r="L147" s="3"/>
      <c r="M147" s="3"/>
      <c r="N147" s="3"/>
      <c r="O147"/>
      <c r="P147"/>
      <c r="Q147"/>
    </row>
    <row r="148" spans="1:17" s="766" customFormat="1" ht="18">
      <c r="A148"/>
      <c r="B148" s="2198" t="s">
        <v>2779</v>
      </c>
      <c r="C148" s="2199"/>
      <c r="D148" s="2199"/>
      <c r="E148" s="2199"/>
      <c r="F148" s="2199"/>
      <c r="G148" s="2199"/>
      <c r="H148" s="2200"/>
      <c r="J148"/>
      <c r="K148" s="3"/>
      <c r="L148" s="3"/>
      <c r="M148" s="3"/>
      <c r="N148" s="3"/>
      <c r="O148"/>
      <c r="P148"/>
      <c r="Q148"/>
    </row>
    <row r="149" spans="1:17" s="766" customFormat="1" ht="18">
      <c r="A149"/>
      <c r="B149" s="1847"/>
      <c r="C149" s="1951"/>
      <c r="D149" s="1951"/>
      <c r="E149" s="1951"/>
      <c r="F149" s="1951"/>
      <c r="G149" s="2212" t="s">
        <v>3123</v>
      </c>
      <c r="H149" s="2213"/>
      <c r="J149"/>
      <c r="K149" s="3"/>
      <c r="L149" s="3"/>
      <c r="M149" s="3"/>
      <c r="N149" s="3"/>
      <c r="O149"/>
      <c r="P149"/>
      <c r="Q149"/>
    </row>
    <row r="150" spans="1:17" s="766" customFormat="1" ht="18">
      <c r="A150"/>
      <c r="B150" s="1287" t="s">
        <v>0</v>
      </c>
      <c r="C150" s="1288"/>
      <c r="D150" s="1288"/>
      <c r="E150" s="1288"/>
      <c r="F150" s="1289"/>
      <c r="G150" s="1237" t="s">
        <v>788</v>
      </c>
      <c r="H150" s="1238" t="s">
        <v>788</v>
      </c>
      <c r="J150"/>
      <c r="K150" s="3"/>
      <c r="L150" s="3"/>
      <c r="M150" s="3"/>
      <c r="N150" s="3"/>
      <c r="O150"/>
      <c r="P150"/>
      <c r="Q150"/>
    </row>
    <row r="151" spans="1:17" s="766" customFormat="1" ht="18">
      <c r="A151"/>
      <c r="B151" s="1269"/>
      <c r="C151" s="55"/>
      <c r="D151" s="55"/>
      <c r="E151" s="55"/>
      <c r="F151" s="56"/>
      <c r="G151" s="41" t="str">
        <f>+G6</f>
        <v>March 31, 2023 (₹)</v>
      </c>
      <c r="H151" s="1272" t="str">
        <f>+H6</f>
        <v>March 31, 2022 (₹)</v>
      </c>
      <c r="J151"/>
      <c r="K151" s="3"/>
      <c r="L151" s="3"/>
      <c r="M151" s="3"/>
      <c r="N151" s="3"/>
      <c r="O151"/>
      <c r="P151"/>
      <c r="Q151"/>
    </row>
    <row r="152" spans="1:17" s="766" customFormat="1" ht="18">
      <c r="A152"/>
      <c r="B152" s="1290" t="s">
        <v>869</v>
      </c>
      <c r="C152" s="2021"/>
      <c r="D152" s="2021"/>
      <c r="E152" s="2021"/>
      <c r="F152" s="2021"/>
      <c r="G152" s="57"/>
      <c r="H152" s="1291"/>
      <c r="J152"/>
      <c r="K152" s="3"/>
      <c r="L152" s="3"/>
      <c r="M152" s="3"/>
      <c r="N152" s="3"/>
      <c r="O152"/>
      <c r="P152"/>
      <c r="Q152"/>
    </row>
    <row r="153" spans="1:17" s="766" customFormat="1" ht="18">
      <c r="A153"/>
      <c r="B153" s="1229" t="s">
        <v>870</v>
      </c>
      <c r="C153" s="2004"/>
      <c r="D153" s="2004"/>
      <c r="E153" s="2004"/>
      <c r="F153" s="1999"/>
      <c r="G153" s="1871">
        <f>+H155</f>
        <v>269.22649999999999</v>
      </c>
      <c r="H153" s="1872">
        <f>+GETPIVOTDATA("Sum of Cr. Final 21-22",Pivot!$A$3,"PARTICULARS","Equity Share Capital","Note",12,"BS Main Head","Share Capital","BS Sub Head","Issued, Subscribed &amp; Paid Up")/A1</f>
        <v>269.22649999999999</v>
      </c>
      <c r="J153"/>
      <c r="K153" s="3"/>
      <c r="L153" s="3"/>
      <c r="M153" s="3"/>
      <c r="N153" s="3"/>
      <c r="O153"/>
      <c r="P153"/>
      <c r="Q153"/>
    </row>
    <row r="154" spans="1:17" s="766" customFormat="1" ht="18">
      <c r="A154"/>
      <c r="B154" s="1229" t="s">
        <v>871</v>
      </c>
      <c r="C154" s="2004"/>
      <c r="D154" s="2004"/>
      <c r="E154" s="2004"/>
      <c r="F154" s="1999"/>
      <c r="G154" s="1857">
        <v>0</v>
      </c>
      <c r="H154" s="1858">
        <v>0</v>
      </c>
      <c r="J154"/>
      <c r="K154" s="3"/>
      <c r="L154" s="3"/>
      <c r="M154" s="3"/>
      <c r="N154" s="3"/>
      <c r="O154"/>
      <c r="P154"/>
      <c r="Q154"/>
    </row>
    <row r="155" spans="1:17" s="766" customFormat="1" ht="18.600000000000001" thickBot="1">
      <c r="A155"/>
      <c r="B155" s="1294" t="s">
        <v>872</v>
      </c>
      <c r="C155" s="2004"/>
      <c r="D155" s="2004"/>
      <c r="E155" s="2004"/>
      <c r="F155" s="1999"/>
      <c r="G155" s="1921">
        <f>+SUM(G153:G154)</f>
        <v>269.22649999999999</v>
      </c>
      <c r="H155" s="1922">
        <f>+SUM(H153:H154)</f>
        <v>269.22649999999999</v>
      </c>
      <c r="J155"/>
      <c r="K155" s="3"/>
      <c r="L155" s="3"/>
      <c r="M155" s="3"/>
      <c r="N155" s="3"/>
      <c r="O155"/>
      <c r="P155"/>
      <c r="Q155"/>
    </row>
    <row r="156" spans="1:17" s="766" customFormat="1" ht="18.600000000000001" thickTop="1">
      <c r="A156"/>
      <c r="B156" s="1294"/>
      <c r="C156" s="2004"/>
      <c r="D156" s="2004"/>
      <c r="E156" s="2004"/>
      <c r="F156" s="1999"/>
      <c r="G156" s="59"/>
      <c r="H156" s="1293"/>
      <c r="J156"/>
      <c r="K156" s="3"/>
      <c r="L156" s="3"/>
      <c r="M156" s="3"/>
      <c r="N156" s="3"/>
      <c r="O156"/>
      <c r="P156"/>
      <c r="Q156"/>
    </row>
    <row r="157" spans="1:17" s="766" customFormat="1" ht="18">
      <c r="A157"/>
      <c r="B157" s="1290" t="s">
        <v>873</v>
      </c>
      <c r="C157" s="2004"/>
      <c r="D157" s="2004"/>
      <c r="E157" s="2004"/>
      <c r="F157" s="2004"/>
      <c r="G157" s="58"/>
      <c r="H157" s="1292"/>
      <c r="J157"/>
      <c r="K157" s="3"/>
      <c r="L157" s="3"/>
      <c r="M157" s="3"/>
      <c r="N157" s="3"/>
      <c r="O157"/>
      <c r="P157"/>
      <c r="Q157"/>
    </row>
    <row r="158" spans="1:17" s="766" customFormat="1" ht="18">
      <c r="A158"/>
      <c r="B158" s="1296" t="s">
        <v>86</v>
      </c>
      <c r="C158" s="2004"/>
      <c r="D158" s="2004"/>
      <c r="E158" s="2004"/>
      <c r="F158" s="2004"/>
      <c r="G158" s="58"/>
      <c r="H158" s="1292"/>
      <c r="J158"/>
      <c r="K158" s="3"/>
      <c r="L158" s="3"/>
      <c r="M158" s="3"/>
      <c r="N158" s="3"/>
      <c r="O158"/>
      <c r="P158"/>
      <c r="Q158"/>
    </row>
    <row r="159" spans="1:17" s="766" customFormat="1" ht="18">
      <c r="A159"/>
      <c r="B159" s="1297" t="s">
        <v>874</v>
      </c>
      <c r="C159" s="2022"/>
      <c r="D159" s="2022"/>
      <c r="E159" s="2022"/>
      <c r="F159" s="2004"/>
      <c r="G159" s="1923">
        <f>+H163</f>
        <v>204.13989000000001</v>
      </c>
      <c r="H159" s="1872">
        <f>+GETPIVOTDATA("Sum of Cr. Final 21-22",Pivot!$A$3,"PARTICULARS","Capital Reserves","Note",12,"BS Main Head","Reserves &amp; Surplus","BS Sub Head","Capital Reserve")/A1</f>
        <v>204.13989000000001</v>
      </c>
      <c r="J159"/>
      <c r="K159" s="3"/>
      <c r="L159" s="3"/>
      <c r="M159" s="3"/>
      <c r="N159" s="3"/>
      <c r="O159"/>
      <c r="P159"/>
      <c r="Q159"/>
    </row>
    <row r="160" spans="1:17" s="766" customFormat="1" ht="18">
      <c r="A160"/>
      <c r="B160" s="1294" t="s">
        <v>875</v>
      </c>
      <c r="C160" s="2004"/>
      <c r="D160" s="2004"/>
      <c r="E160" s="2004"/>
      <c r="F160" s="2004"/>
      <c r="G160" s="1871">
        <v>0</v>
      </c>
      <c r="H160" s="1872">
        <v>0</v>
      </c>
      <c r="J160"/>
      <c r="K160" s="3"/>
      <c r="L160" s="3"/>
      <c r="M160" s="3"/>
      <c r="N160" s="3"/>
      <c r="O160"/>
      <c r="P160"/>
      <c r="Q160"/>
    </row>
    <row r="161" spans="1:17" s="766" customFormat="1" ht="18">
      <c r="A161"/>
      <c r="B161" s="1294" t="s">
        <v>876</v>
      </c>
      <c r="C161" s="2004"/>
      <c r="D161" s="2004"/>
      <c r="E161" s="2004"/>
      <c r="F161" s="2004"/>
      <c r="G161" s="1924">
        <f>+G159+G160</f>
        <v>204.13989000000001</v>
      </c>
      <c r="H161" s="1925">
        <f>+H159+H160</f>
        <v>204.13989000000001</v>
      </c>
      <c r="J161"/>
      <c r="K161" s="3"/>
      <c r="L161" s="3"/>
      <c r="M161" s="3"/>
      <c r="N161" s="3"/>
      <c r="O161"/>
      <c r="P161"/>
      <c r="Q161"/>
    </row>
    <row r="162" spans="1:17" s="766" customFormat="1" ht="18">
      <c r="A162"/>
      <c r="B162" s="1294" t="s">
        <v>3135</v>
      </c>
      <c r="C162" s="2004"/>
      <c r="D162" s="2004"/>
      <c r="E162" s="2004"/>
      <c r="F162" s="2004"/>
      <c r="G162" s="1871">
        <v>0</v>
      </c>
      <c r="H162" s="1872">
        <v>0</v>
      </c>
      <c r="J162"/>
      <c r="K162" s="3"/>
      <c r="L162" s="3"/>
      <c r="M162" s="3"/>
      <c r="N162" s="3"/>
      <c r="O162"/>
      <c r="P162"/>
      <c r="Q162"/>
    </row>
    <row r="163" spans="1:17" s="766" customFormat="1" ht="18">
      <c r="A163"/>
      <c r="B163" s="1300" t="s">
        <v>533</v>
      </c>
      <c r="C163" s="2023"/>
      <c r="D163" s="2023"/>
      <c r="E163" s="2023"/>
      <c r="F163" s="2023"/>
      <c r="G163" s="1891">
        <f>+G161+G162</f>
        <v>204.13989000000001</v>
      </c>
      <c r="H163" s="1892">
        <f>+H161+H162</f>
        <v>204.13989000000001</v>
      </c>
      <c r="J163"/>
      <c r="K163" s="3"/>
      <c r="L163" s="3"/>
      <c r="M163" s="3"/>
      <c r="N163" s="3"/>
      <c r="O163"/>
      <c r="P163"/>
      <c r="Q163"/>
    </row>
    <row r="164" spans="1:17" s="766" customFormat="1" ht="18">
      <c r="A164"/>
      <c r="B164" s="1300"/>
      <c r="C164" s="2023"/>
      <c r="D164" s="2023"/>
      <c r="E164" s="2023"/>
      <c r="F164" s="2023"/>
      <c r="G164" s="1926"/>
      <c r="H164" s="1927"/>
      <c r="J164"/>
      <c r="K164" s="3"/>
      <c r="L164" s="3"/>
      <c r="M164" s="3"/>
      <c r="N164" s="3"/>
      <c r="O164"/>
      <c r="P164"/>
      <c r="Q164"/>
    </row>
    <row r="165" spans="1:17" s="766" customFormat="1" ht="18">
      <c r="A165"/>
      <c r="B165" s="1300" t="s">
        <v>379</v>
      </c>
      <c r="C165" s="2004"/>
      <c r="D165" s="2004"/>
      <c r="E165" s="2004"/>
      <c r="F165" s="2004"/>
      <c r="G165" s="1871"/>
      <c r="H165" s="1872"/>
      <c r="J165"/>
      <c r="K165" s="3"/>
      <c r="L165" s="3"/>
      <c r="M165" s="3"/>
      <c r="N165" s="3"/>
      <c r="O165"/>
      <c r="P165"/>
      <c r="Q165"/>
    </row>
    <row r="166" spans="1:17" s="766" customFormat="1" ht="18">
      <c r="A166"/>
      <c r="B166" s="1297" t="s">
        <v>874</v>
      </c>
      <c r="C166" s="2004"/>
      <c r="D166" s="2004"/>
      <c r="E166" s="2004"/>
      <c r="F166" s="2004"/>
      <c r="G166" s="1871">
        <f>+H170</f>
        <v>86.649460000000005</v>
      </c>
      <c r="H166" s="1872">
        <f>+GETPIVOTDATA("Sum of Cr. Final 21-22",Pivot!$A$3,"Note",,"BS Main Head","Reserves &amp; Surplus","BS Sub Head","Securities Premium")/A1</f>
        <v>86.649460000000005</v>
      </c>
      <c r="J166"/>
      <c r="K166" s="3"/>
      <c r="L166" s="3"/>
      <c r="M166" s="3"/>
      <c r="N166" s="3"/>
      <c r="O166"/>
      <c r="P166"/>
      <c r="Q166"/>
    </row>
    <row r="167" spans="1:17" s="766" customFormat="1" ht="18">
      <c r="A167"/>
      <c r="B167" s="1294" t="s">
        <v>875</v>
      </c>
      <c r="C167" s="2004"/>
      <c r="D167" s="2004"/>
      <c r="E167" s="2004"/>
      <c r="F167" s="2004"/>
      <c r="G167" s="1928">
        <v>0</v>
      </c>
      <c r="H167" s="1929">
        <v>0</v>
      </c>
      <c r="J167"/>
      <c r="K167" s="3"/>
      <c r="L167" s="3"/>
      <c r="M167" s="3"/>
      <c r="N167" s="3"/>
      <c r="O167"/>
      <c r="P167"/>
      <c r="Q167"/>
    </row>
    <row r="168" spans="1:17" s="766" customFormat="1" ht="18">
      <c r="A168"/>
      <c r="B168" s="1294" t="s">
        <v>876</v>
      </c>
      <c r="C168" s="2004"/>
      <c r="D168" s="2004"/>
      <c r="E168" s="2004"/>
      <c r="F168" s="2004"/>
      <c r="G168" s="1871">
        <f>+G166+G167</f>
        <v>86.649460000000005</v>
      </c>
      <c r="H168" s="1872">
        <f>+H166+H167</f>
        <v>86.649460000000005</v>
      </c>
      <c r="J168"/>
      <c r="K168" s="3"/>
      <c r="L168" s="3"/>
      <c r="M168" s="3"/>
      <c r="N168" s="3"/>
      <c r="O168"/>
      <c r="P168"/>
      <c r="Q168"/>
    </row>
    <row r="169" spans="1:17" s="766" customFormat="1" ht="18">
      <c r="A169"/>
      <c r="B169" s="1294" t="s">
        <v>3135</v>
      </c>
      <c r="C169" s="2004"/>
      <c r="D169" s="2004"/>
      <c r="E169" s="2004"/>
      <c r="F169" s="2004"/>
      <c r="G169" s="1871">
        <v>0</v>
      </c>
      <c r="H169" s="1872">
        <v>0</v>
      </c>
      <c r="J169"/>
      <c r="K169" s="3"/>
      <c r="L169" s="3"/>
      <c r="M169" s="3"/>
      <c r="N169" s="3"/>
      <c r="O169"/>
      <c r="P169"/>
      <c r="Q169"/>
    </row>
    <row r="170" spans="1:17" s="766" customFormat="1" ht="18">
      <c r="A170"/>
      <c r="B170" s="1300" t="s">
        <v>533</v>
      </c>
      <c r="C170" s="2004"/>
      <c r="D170" s="2004"/>
      <c r="E170" s="2004"/>
      <c r="F170" s="2004"/>
      <c r="G170" s="1891">
        <f>+G168+G169</f>
        <v>86.649460000000005</v>
      </c>
      <c r="H170" s="1892">
        <f>+H168+H169</f>
        <v>86.649460000000005</v>
      </c>
      <c r="J170"/>
      <c r="K170" s="3"/>
      <c r="L170" s="3"/>
      <c r="M170" s="3"/>
      <c r="N170" s="3"/>
      <c r="O170"/>
      <c r="P170"/>
      <c r="Q170"/>
    </row>
    <row r="171" spans="1:17" s="766" customFormat="1" ht="18">
      <c r="A171"/>
      <c r="B171" s="1300"/>
      <c r="C171" s="2004"/>
      <c r="D171" s="2004"/>
      <c r="E171" s="2004"/>
      <c r="F171" s="2004"/>
      <c r="G171" s="1926"/>
      <c r="H171" s="1927"/>
      <c r="J171"/>
      <c r="K171" s="3"/>
      <c r="L171" s="3"/>
      <c r="M171" s="3"/>
      <c r="N171" s="3"/>
      <c r="O171"/>
      <c r="P171"/>
      <c r="Q171"/>
    </row>
    <row r="172" spans="1:17" s="766" customFormat="1" ht="18">
      <c r="A172"/>
      <c r="B172" s="1300" t="s">
        <v>195</v>
      </c>
      <c r="C172" s="2004"/>
      <c r="D172" s="2004"/>
      <c r="E172" s="2004"/>
      <c r="F172" s="2004"/>
      <c r="G172" s="1871"/>
      <c r="H172" s="1872"/>
      <c r="J172"/>
      <c r="K172" s="3"/>
      <c r="L172" s="3"/>
      <c r="M172" s="3"/>
      <c r="N172" s="3"/>
      <c r="O172"/>
      <c r="P172"/>
      <c r="Q172"/>
    </row>
    <row r="173" spans="1:17" s="766" customFormat="1" ht="18">
      <c r="A173"/>
      <c r="B173" s="1297" t="s">
        <v>874</v>
      </c>
      <c r="C173" s="2004"/>
      <c r="D173" s="2004"/>
      <c r="E173" s="2004"/>
      <c r="F173" s="2004"/>
      <c r="G173" s="1923">
        <f>+H177</f>
        <v>18</v>
      </c>
      <c r="H173" s="1872">
        <f>+GETPIVOTDATA("Sum of Cr. Final 21-22",Pivot!$A$3,"Note",,"BS Main Head","Reserves &amp; Surplus","BS Sub Head","General Reserve")/A1</f>
        <v>18</v>
      </c>
      <c r="J173"/>
      <c r="K173" s="3"/>
      <c r="L173" s="3"/>
      <c r="M173" s="3"/>
      <c r="N173" s="3"/>
      <c r="O173"/>
      <c r="P173"/>
      <c r="Q173"/>
    </row>
    <row r="174" spans="1:17" s="766" customFormat="1" ht="18">
      <c r="A174"/>
      <c r="B174" s="1294" t="s">
        <v>875</v>
      </c>
      <c r="C174" s="2004"/>
      <c r="D174" s="2004"/>
      <c r="E174" s="2004"/>
      <c r="F174" s="2004"/>
      <c r="G174" s="1928">
        <v>0</v>
      </c>
      <c r="H174" s="1929">
        <v>0</v>
      </c>
      <c r="J174"/>
      <c r="K174" s="3"/>
      <c r="L174" s="3"/>
      <c r="M174" s="3"/>
      <c r="N174" s="3"/>
      <c r="O174"/>
      <c r="P174"/>
      <c r="Q174"/>
    </row>
    <row r="175" spans="1:17" s="766" customFormat="1" ht="18">
      <c r="A175"/>
      <c r="B175" s="1294" t="s">
        <v>876</v>
      </c>
      <c r="C175" s="2004"/>
      <c r="D175" s="2004"/>
      <c r="E175" s="2004"/>
      <c r="F175" s="2004"/>
      <c r="G175" s="1871">
        <f>+G173+G174</f>
        <v>18</v>
      </c>
      <c r="H175" s="1872">
        <f>+H173+H174</f>
        <v>18</v>
      </c>
      <c r="J175"/>
      <c r="K175" s="3"/>
      <c r="L175" s="3"/>
      <c r="M175" s="3"/>
      <c r="N175" s="3"/>
      <c r="O175"/>
      <c r="P175"/>
      <c r="Q175"/>
    </row>
    <row r="176" spans="1:17" s="766" customFormat="1" ht="18">
      <c r="A176"/>
      <c r="B176" s="1294" t="s">
        <v>3135</v>
      </c>
      <c r="C176" s="2004"/>
      <c r="D176" s="2004"/>
      <c r="E176" s="2004"/>
      <c r="F176" s="2004"/>
      <c r="G176" s="1871"/>
      <c r="H176" s="1872"/>
      <c r="J176"/>
      <c r="K176" s="3"/>
      <c r="L176" s="3"/>
      <c r="M176" s="3"/>
      <c r="N176" s="3"/>
      <c r="O176"/>
      <c r="P176"/>
      <c r="Q176"/>
    </row>
    <row r="177" spans="1:17" s="766" customFormat="1" ht="18">
      <c r="A177"/>
      <c r="B177" s="1294" t="s">
        <v>533</v>
      </c>
      <c r="C177" s="2004"/>
      <c r="D177" s="2004"/>
      <c r="E177" s="2004"/>
      <c r="F177" s="2004"/>
      <c r="G177" s="1891">
        <f>+G175+G176</f>
        <v>18</v>
      </c>
      <c r="H177" s="1892">
        <f>+H175+H176</f>
        <v>18</v>
      </c>
      <c r="J177"/>
      <c r="K177" s="3"/>
      <c r="L177" s="3"/>
      <c r="M177" s="3"/>
      <c r="N177" s="3"/>
      <c r="O177"/>
      <c r="P177"/>
      <c r="Q177"/>
    </row>
    <row r="178" spans="1:17" s="766" customFormat="1" ht="18">
      <c r="A178"/>
      <c r="B178" s="1294"/>
      <c r="C178" s="2004"/>
      <c r="D178" s="2004"/>
      <c r="E178" s="2004"/>
      <c r="F178" s="2004"/>
      <c r="G178" s="1926"/>
      <c r="H178" s="1927"/>
      <c r="J178"/>
      <c r="K178" s="3"/>
      <c r="L178" s="3"/>
      <c r="M178" s="3"/>
      <c r="N178" s="3"/>
      <c r="O178"/>
      <c r="P178"/>
      <c r="Q178"/>
    </row>
    <row r="179" spans="1:17" s="766" customFormat="1" ht="18">
      <c r="A179"/>
      <c r="B179" s="1300" t="s">
        <v>878</v>
      </c>
      <c r="C179" s="2004"/>
      <c r="D179" s="2004"/>
      <c r="E179" s="2004"/>
      <c r="F179" s="2004"/>
      <c r="G179" s="1871"/>
      <c r="H179" s="1872"/>
      <c r="J179"/>
      <c r="K179" s="3"/>
      <c r="L179" s="3"/>
      <c r="M179" s="3"/>
      <c r="N179" s="3"/>
      <c r="O179"/>
      <c r="P179"/>
      <c r="Q179"/>
    </row>
    <row r="180" spans="1:17" s="766" customFormat="1" ht="18">
      <c r="A180"/>
      <c r="B180" s="1294" t="s">
        <v>874</v>
      </c>
      <c r="C180" s="2004"/>
      <c r="D180" s="2004"/>
      <c r="E180" s="2004"/>
      <c r="F180" s="2004"/>
      <c r="G180" s="1930">
        <f>+H185</f>
        <v>509.05004000000002</v>
      </c>
      <c r="H180" s="1927">
        <f>+GETPIVOTDATA("Sum of Cr. Final 21-22",Pivot!$A$3,"PARTICULARS","Revaluation Reserve","Note",12,"BS Main Head","Reserves &amp; Surplus","BS Sub Head","Capital Reserve")/A1</f>
        <v>509.05004000000002</v>
      </c>
      <c r="J180"/>
      <c r="K180" s="3"/>
      <c r="L180" s="3"/>
      <c r="M180" s="3"/>
      <c r="N180" s="3"/>
      <c r="O180"/>
      <c r="P180"/>
      <c r="Q180"/>
    </row>
    <row r="181" spans="1:17" s="766" customFormat="1" ht="18">
      <c r="A181"/>
      <c r="B181" s="1294" t="s">
        <v>2925</v>
      </c>
      <c r="C181" s="2004"/>
      <c r="D181" s="2004"/>
      <c r="E181" s="2004"/>
      <c r="F181" s="2004"/>
      <c r="G181" s="1871">
        <v>0</v>
      </c>
      <c r="H181" s="1872">
        <v>0</v>
      </c>
      <c r="J181"/>
      <c r="K181" s="3"/>
      <c r="L181" s="3"/>
      <c r="M181" s="3"/>
      <c r="N181" s="3"/>
      <c r="O181"/>
      <c r="P181"/>
      <c r="Q181"/>
    </row>
    <row r="182" spans="1:17" s="766" customFormat="1" ht="18">
      <c r="A182"/>
      <c r="B182" s="1294" t="s">
        <v>879</v>
      </c>
      <c r="C182" s="2004"/>
      <c r="D182" s="2004"/>
      <c r="E182" s="2004"/>
      <c r="F182" s="2004"/>
      <c r="G182" s="1928">
        <v>0</v>
      </c>
      <c r="H182" s="1929">
        <v>0</v>
      </c>
      <c r="J182"/>
      <c r="K182" s="3"/>
      <c r="L182" s="3"/>
      <c r="M182" s="3"/>
      <c r="N182" s="3"/>
      <c r="O182"/>
      <c r="P182"/>
      <c r="Q182"/>
    </row>
    <row r="183" spans="1:17" s="766" customFormat="1" ht="18">
      <c r="A183"/>
      <c r="B183" s="1294" t="s">
        <v>876</v>
      </c>
      <c r="C183" s="2004"/>
      <c r="D183" s="2004"/>
      <c r="E183" s="2004"/>
      <c r="F183" s="2004"/>
      <c r="G183" s="1926">
        <f>+G180+G181+G182</f>
        <v>509.05004000000002</v>
      </c>
      <c r="H183" s="1927">
        <f>+H180+H181+H182</f>
        <v>509.05004000000002</v>
      </c>
      <c r="J183"/>
      <c r="K183" s="3"/>
      <c r="L183" s="3"/>
      <c r="M183" s="3"/>
      <c r="N183" s="3"/>
      <c r="O183"/>
      <c r="P183"/>
      <c r="Q183"/>
    </row>
    <row r="184" spans="1:17" s="766" customFormat="1" ht="18">
      <c r="A184"/>
      <c r="B184" s="1294" t="s">
        <v>3135</v>
      </c>
      <c r="C184" s="2004"/>
      <c r="D184" s="2004"/>
      <c r="E184" s="2004"/>
      <c r="F184" s="2004"/>
      <c r="G184" s="1871">
        <v>0</v>
      </c>
      <c r="H184" s="1872">
        <v>0</v>
      </c>
      <c r="J184"/>
      <c r="K184" s="3"/>
      <c r="L184" s="3"/>
      <c r="M184" s="3"/>
      <c r="N184" s="3"/>
      <c r="O184"/>
      <c r="P184"/>
      <c r="Q184"/>
    </row>
    <row r="185" spans="1:17" s="766" customFormat="1" ht="18">
      <c r="A185"/>
      <c r="B185" s="1294" t="s">
        <v>533</v>
      </c>
      <c r="C185" s="2004"/>
      <c r="D185" s="2004"/>
      <c r="E185" s="2004"/>
      <c r="F185" s="2004"/>
      <c r="G185" s="1891">
        <f>+G183+G184</f>
        <v>509.05004000000002</v>
      </c>
      <c r="H185" s="1892">
        <f>+H183+H184</f>
        <v>509.05004000000002</v>
      </c>
      <c r="J185"/>
      <c r="K185" s="3"/>
      <c r="L185" s="3"/>
      <c r="M185" s="3"/>
      <c r="N185" s="3"/>
      <c r="O185"/>
      <c r="P185"/>
      <c r="Q185"/>
    </row>
    <row r="186" spans="1:17" s="766" customFormat="1" ht="18">
      <c r="A186"/>
      <c r="B186" s="1294"/>
      <c r="C186" s="2004"/>
      <c r="D186" s="2004"/>
      <c r="E186" s="2004"/>
      <c r="F186" s="2004"/>
      <c r="G186" s="1926"/>
      <c r="H186" s="1927"/>
      <c r="J186"/>
      <c r="K186" s="3"/>
      <c r="L186" s="3"/>
      <c r="M186" s="3"/>
      <c r="N186" s="3"/>
      <c r="O186"/>
      <c r="P186"/>
      <c r="Q186"/>
    </row>
    <row r="187" spans="1:17" s="766" customFormat="1" ht="18">
      <c r="A187"/>
      <c r="B187" s="1300" t="s">
        <v>880</v>
      </c>
      <c r="C187" s="2004"/>
      <c r="D187" s="2004"/>
      <c r="E187" s="2004"/>
      <c r="F187" s="2004"/>
      <c r="G187" s="1871"/>
      <c r="H187" s="1872"/>
      <c r="J187"/>
      <c r="K187" s="3"/>
      <c r="L187" s="3"/>
      <c r="M187" s="3"/>
      <c r="N187" s="3"/>
      <c r="O187"/>
      <c r="P187"/>
      <c r="Q187"/>
    </row>
    <row r="188" spans="1:17" s="766" customFormat="1" ht="18">
      <c r="A188"/>
      <c r="B188" s="1297" t="s">
        <v>874</v>
      </c>
      <c r="C188" s="2004"/>
      <c r="D188" s="2004"/>
      <c r="E188" s="2004"/>
      <c r="F188" s="2004"/>
      <c r="G188" s="1871">
        <f>+H200</f>
        <v>1645.1755799054633</v>
      </c>
      <c r="H188" s="1872">
        <f>159588194/A1</f>
        <v>1595.88194</v>
      </c>
      <c r="J188"/>
      <c r="K188" s="3"/>
      <c r="L188" s="3"/>
      <c r="M188" s="3"/>
      <c r="N188" s="3"/>
      <c r="O188"/>
      <c r="P188"/>
      <c r="Q188"/>
    </row>
    <row r="189" spans="1:17" s="766" customFormat="1" ht="18">
      <c r="A189"/>
      <c r="B189" s="1294" t="s">
        <v>875</v>
      </c>
      <c r="C189" s="2004"/>
      <c r="D189" s="2004"/>
      <c r="E189" s="2004"/>
      <c r="F189" s="2004"/>
      <c r="G189" s="1871">
        <v>0</v>
      </c>
      <c r="H189" s="1872">
        <v>0</v>
      </c>
      <c r="J189"/>
      <c r="K189" s="3"/>
      <c r="L189" s="3"/>
      <c r="M189" s="3"/>
      <c r="N189" s="3"/>
      <c r="O189"/>
      <c r="P189"/>
      <c r="Q189"/>
    </row>
    <row r="190" spans="1:17" s="766" customFormat="1" ht="18">
      <c r="A190"/>
      <c r="B190" s="1294" t="s">
        <v>881</v>
      </c>
      <c r="C190" s="2004"/>
      <c r="D190" s="2004"/>
      <c r="E190" s="2004"/>
      <c r="F190" s="2004"/>
      <c r="G190" s="1871">
        <v>0</v>
      </c>
      <c r="H190" s="1872">
        <v>0</v>
      </c>
      <c r="J190"/>
      <c r="K190" s="3"/>
      <c r="L190" s="3"/>
      <c r="M190" s="3"/>
      <c r="N190" s="3"/>
      <c r="O190"/>
      <c r="P190"/>
      <c r="Q190"/>
    </row>
    <row r="191" spans="1:17" s="766" customFormat="1" ht="18">
      <c r="A191"/>
      <c r="B191" s="1294" t="s">
        <v>876</v>
      </c>
      <c r="C191" s="2004"/>
      <c r="D191" s="2004"/>
      <c r="E191" s="2004"/>
      <c r="F191" s="2004"/>
      <c r="G191" s="1924">
        <f>+G188+G189+G190</f>
        <v>1645.1755799054633</v>
      </c>
      <c r="H191" s="1925">
        <f>+H188+H189+H190</f>
        <v>1595.88194</v>
      </c>
      <c r="J191"/>
      <c r="K191" s="3"/>
      <c r="L191" s="3"/>
      <c r="M191" s="3"/>
      <c r="N191" s="3"/>
      <c r="O191"/>
      <c r="P191"/>
      <c r="Q191"/>
    </row>
    <row r="192" spans="1:17" s="766" customFormat="1" ht="18">
      <c r="A192"/>
      <c r="B192" s="1294" t="s">
        <v>882</v>
      </c>
      <c r="C192" s="2004"/>
      <c r="D192" s="2004"/>
      <c r="E192" s="2004"/>
      <c r="F192" s="2004"/>
      <c r="G192" s="1871">
        <f>+G104</f>
        <v>-377.29675915287481</v>
      </c>
      <c r="H192" s="1872">
        <f>+H104</f>
        <v>38.252889905463419</v>
      </c>
      <c r="J192"/>
      <c r="K192" s="3"/>
      <c r="L192" s="3"/>
      <c r="M192" s="3"/>
      <c r="N192" s="3"/>
      <c r="O192"/>
      <c r="P192"/>
      <c r="Q192"/>
    </row>
    <row r="193" spans="1:17" s="766" customFormat="1" ht="18">
      <c r="A193"/>
      <c r="B193" s="1294" t="s">
        <v>883</v>
      </c>
      <c r="C193" s="2004"/>
      <c r="D193" s="2004"/>
      <c r="E193" s="2004"/>
      <c r="F193" s="2004"/>
      <c r="G193" s="1928">
        <f>+G111</f>
        <v>4.5342099999999999</v>
      </c>
      <c r="H193" s="1929">
        <f>+H111</f>
        <v>11.040749999999999</v>
      </c>
      <c r="J193"/>
      <c r="K193" s="3"/>
      <c r="L193" s="3"/>
      <c r="M193" s="3"/>
      <c r="N193" s="3"/>
      <c r="O193"/>
      <c r="P193"/>
      <c r="Q193"/>
    </row>
    <row r="194" spans="1:17" s="766" customFormat="1" ht="18">
      <c r="A194"/>
      <c r="B194" s="1294" t="s">
        <v>884</v>
      </c>
      <c r="C194" s="2004"/>
      <c r="D194" s="2004"/>
      <c r="E194" s="2004"/>
      <c r="F194" s="2004"/>
      <c r="G194" s="1871">
        <f>+G192+G193</f>
        <v>-372.76254915287484</v>
      </c>
      <c r="H194" s="1872">
        <f>+H192+H193</f>
        <v>49.293639905463422</v>
      </c>
      <c r="J194"/>
      <c r="K194" s="3"/>
      <c r="L194" s="3"/>
      <c r="M194" s="3"/>
      <c r="N194" s="3"/>
      <c r="O194"/>
      <c r="P194"/>
      <c r="Q194"/>
    </row>
    <row r="195" spans="1:17" s="766" customFormat="1" ht="18">
      <c r="A195"/>
      <c r="B195" s="1300" t="s">
        <v>885</v>
      </c>
      <c r="C195" s="2004"/>
      <c r="D195" s="2004"/>
      <c r="E195" s="2004"/>
      <c r="F195" s="2004"/>
      <c r="G195" s="1871"/>
      <c r="H195" s="1872"/>
      <c r="J195"/>
      <c r="K195" s="3"/>
      <c r="L195" s="3"/>
      <c r="M195" s="3"/>
      <c r="N195" s="3"/>
      <c r="O195"/>
      <c r="P195"/>
      <c r="Q195"/>
    </row>
    <row r="196" spans="1:17" s="766" customFormat="1" ht="18">
      <c r="A196"/>
      <c r="B196" s="1294" t="s">
        <v>886</v>
      </c>
      <c r="C196" s="2004"/>
      <c r="D196" s="2004"/>
      <c r="E196" s="2004"/>
      <c r="F196" s="2004"/>
      <c r="G196" s="1871">
        <v>0</v>
      </c>
      <c r="H196" s="1872">
        <v>0</v>
      </c>
      <c r="J196"/>
      <c r="K196" s="3"/>
      <c r="L196" s="3"/>
      <c r="M196" s="3"/>
      <c r="N196" s="3"/>
      <c r="O196"/>
      <c r="P196"/>
      <c r="Q196"/>
    </row>
    <row r="197" spans="1:17" s="766" customFormat="1" ht="18">
      <c r="A197"/>
      <c r="B197" s="1294" t="s">
        <v>887</v>
      </c>
      <c r="C197" s="2004"/>
      <c r="D197" s="2004"/>
      <c r="E197" s="2004"/>
      <c r="F197" s="2004"/>
      <c r="G197" s="1871">
        <v>0</v>
      </c>
      <c r="H197" s="1872">
        <v>0</v>
      </c>
      <c r="J197"/>
      <c r="K197" s="3"/>
      <c r="L197" s="3"/>
      <c r="M197" s="3"/>
      <c r="N197" s="3"/>
      <c r="O197"/>
      <c r="P197"/>
      <c r="Q197"/>
    </row>
    <row r="198" spans="1:17" s="766" customFormat="1" ht="18">
      <c r="A198"/>
      <c r="B198" s="1294" t="s">
        <v>888</v>
      </c>
      <c r="C198" s="2004"/>
      <c r="D198" s="2004"/>
      <c r="E198" s="2004"/>
      <c r="F198" s="2004"/>
      <c r="G198" s="1871">
        <v>0</v>
      </c>
      <c r="H198" s="1872">
        <v>0</v>
      </c>
      <c r="J198"/>
      <c r="K198" s="3"/>
      <c r="L198" s="3"/>
      <c r="M198" s="3"/>
      <c r="N198" s="3"/>
      <c r="O198"/>
      <c r="P198"/>
      <c r="Q198"/>
    </row>
    <row r="199" spans="1:17" s="766" customFormat="1" ht="18">
      <c r="A199"/>
      <c r="B199" s="1294" t="s">
        <v>3135</v>
      </c>
      <c r="C199" s="2004"/>
      <c r="D199" s="2004"/>
      <c r="E199" s="2004"/>
      <c r="F199" s="2004"/>
      <c r="G199" s="1871">
        <v>0</v>
      </c>
      <c r="H199" s="1872">
        <v>0</v>
      </c>
      <c r="J199"/>
      <c r="K199" s="3"/>
      <c r="L199" s="3"/>
      <c r="M199" s="3"/>
      <c r="N199" s="3"/>
      <c r="O199"/>
      <c r="P199"/>
      <c r="Q199"/>
    </row>
    <row r="200" spans="1:17" s="766" customFormat="1" ht="18">
      <c r="A200"/>
      <c r="B200" s="1294" t="s">
        <v>533</v>
      </c>
      <c r="C200" s="2004"/>
      <c r="D200" s="2004"/>
      <c r="E200" s="2004"/>
      <c r="F200" s="2004"/>
      <c r="G200" s="1931">
        <f>+G191+G194-SUM(G197:G199)</f>
        <v>1272.4130307525884</v>
      </c>
      <c r="H200" s="1932">
        <f>+H191+H194-SUM(H197:H199)</f>
        <v>1645.1755799054633</v>
      </c>
      <c r="J200"/>
      <c r="K200" s="3"/>
      <c r="L200" s="3"/>
      <c r="M200" s="3"/>
      <c r="N200" s="3"/>
      <c r="O200"/>
      <c r="P200"/>
      <c r="Q200"/>
    </row>
    <row r="201" spans="1:17" s="766" customFormat="1" ht="18">
      <c r="A201"/>
      <c r="B201" s="1303"/>
      <c r="C201" s="65"/>
      <c r="D201" s="65"/>
      <c r="E201" s="65"/>
      <c r="F201" s="65"/>
      <c r="G201" s="1891">
        <f>G200+G177+G170+G163+G185</f>
        <v>2090.2524207525885</v>
      </c>
      <c r="H201" s="1892">
        <f>H200+H177+H170+H163+H185</f>
        <v>2463.0149699054632</v>
      </c>
      <c r="J201"/>
      <c r="K201" s="3"/>
      <c r="L201" s="3"/>
      <c r="M201" s="3"/>
      <c r="N201" s="3"/>
      <c r="O201"/>
      <c r="P201"/>
      <c r="Q201"/>
    </row>
    <row r="202" spans="1:17" s="766" customFormat="1" ht="18">
      <c r="A202"/>
      <c r="B202" s="1304"/>
      <c r="C202" s="1305"/>
      <c r="D202" s="1305"/>
      <c r="E202" s="1305"/>
      <c r="F202" s="1305"/>
      <c r="G202" s="1306"/>
      <c r="H202" s="1307"/>
      <c r="J202"/>
      <c r="K202" s="3"/>
      <c r="L202" s="3"/>
      <c r="M202" s="3"/>
      <c r="N202" s="3"/>
      <c r="O202"/>
      <c r="P202"/>
      <c r="Q202"/>
    </row>
    <row r="203" spans="1:17" s="766" customFormat="1" ht="18">
      <c r="A203"/>
      <c r="B203" s="1294"/>
      <c r="C203" s="2004"/>
      <c r="D203" s="2004"/>
      <c r="E203" s="2004"/>
      <c r="F203" s="2004"/>
      <c r="G203" s="132"/>
      <c r="H203" s="1408"/>
      <c r="J203"/>
      <c r="K203" s="3"/>
      <c r="L203" s="3"/>
      <c r="M203" s="3"/>
      <c r="N203" s="3"/>
      <c r="O203"/>
      <c r="P203"/>
      <c r="Q203"/>
    </row>
    <row r="204" spans="1:17" s="766" customFormat="1" ht="18">
      <c r="A204"/>
      <c r="B204" s="1283" t="s">
        <v>822</v>
      </c>
      <c r="C204" s="2024"/>
      <c r="D204" s="2024"/>
      <c r="E204" s="2024"/>
      <c r="F204" s="2024"/>
      <c r="G204" s="66"/>
      <c r="H204" s="1308"/>
      <c r="J204"/>
      <c r="K204" s="3"/>
      <c r="L204" s="3"/>
      <c r="M204" s="3"/>
      <c r="N204" s="3"/>
      <c r="O204"/>
      <c r="P204"/>
      <c r="Q204"/>
    </row>
    <row r="205" spans="1:17" s="766" customFormat="1" ht="18">
      <c r="A205"/>
      <c r="B205" s="1222" t="str">
        <f>+B121</f>
        <v>As per our report of even date</v>
      </c>
      <c r="C205" s="1223"/>
      <c r="D205" s="1223"/>
      <c r="E205" s="1223"/>
      <c r="F205" s="1959" t="s">
        <v>824</v>
      </c>
      <c r="G205" s="31"/>
      <c r="H205" s="1265"/>
      <c r="J205"/>
      <c r="K205" s="3"/>
      <c r="L205" s="3"/>
      <c r="M205" s="3"/>
      <c r="N205" s="3"/>
      <c r="O205"/>
      <c r="P205"/>
      <c r="Q205"/>
    </row>
    <row r="206" spans="1:17" s="766" customFormat="1" ht="18">
      <c r="A206"/>
      <c r="B206" s="1225" t="str">
        <f>+B125</f>
        <v>FOR DARAK AND ASSOCIATES</v>
      </c>
      <c r="C206" s="1999"/>
      <c r="D206" s="1999"/>
      <c r="E206" s="1999"/>
      <c r="F206" s="1959"/>
      <c r="G206" s="31"/>
      <c r="H206" s="1265"/>
      <c r="J206"/>
      <c r="K206" s="3"/>
      <c r="L206" s="3"/>
      <c r="M206" s="3"/>
      <c r="N206" s="3"/>
      <c r="O206"/>
      <c r="P206"/>
      <c r="Q206"/>
    </row>
    <row r="207" spans="1:17" s="766" customFormat="1" ht="18">
      <c r="A207"/>
      <c r="B207" s="1225" t="str">
        <f>+B126</f>
        <v>CHARTERED ACCOUNTANTS</v>
      </c>
      <c r="C207" s="1999"/>
      <c r="D207" s="1999"/>
      <c r="E207" s="1999"/>
      <c r="F207" s="1959"/>
      <c r="G207" s="31"/>
      <c r="H207" s="1265"/>
      <c r="J207"/>
      <c r="K207" s="3"/>
      <c r="L207" s="3"/>
      <c r="M207" s="3"/>
      <c r="N207" s="3"/>
      <c r="O207"/>
      <c r="P207"/>
      <c r="Q207"/>
    </row>
    <row r="208" spans="1:17" s="766" customFormat="1" ht="18">
      <c r="A208"/>
      <c r="B208" s="1225" t="str">
        <f>+B127</f>
        <v>FIRM REGISTRATION NO.: 132818W</v>
      </c>
      <c r="C208" s="1226"/>
      <c r="D208" s="1226"/>
      <c r="E208" s="1226"/>
      <c r="F208" s="1958" t="str">
        <f>+F125</f>
        <v>ANIL KUMAR LAKHOTIYA - MANAGING  DIRECTOR</v>
      </c>
      <c r="G208" s="31"/>
      <c r="H208" s="1265"/>
      <c r="J208"/>
      <c r="K208" s="3"/>
      <c r="L208" s="3"/>
      <c r="M208" s="3"/>
      <c r="N208" s="3"/>
      <c r="O208"/>
      <c r="P208"/>
      <c r="Q208"/>
    </row>
    <row r="209" spans="1:17" s="766" customFormat="1" ht="18">
      <c r="A209"/>
      <c r="B209" s="1225"/>
      <c r="C209" s="1226"/>
      <c r="D209" s="1226"/>
      <c r="E209" s="1226"/>
      <c r="F209" s="1959" t="str">
        <f>+F126</f>
        <v>(DIN:00367361)</v>
      </c>
      <c r="G209" s="31"/>
      <c r="H209" s="1265"/>
      <c r="J209"/>
      <c r="K209" s="3"/>
      <c r="L209" s="3"/>
      <c r="M209" s="3"/>
      <c r="N209" s="3"/>
      <c r="O209"/>
      <c r="P209"/>
      <c r="Q209"/>
    </row>
    <row r="210" spans="1:17" s="766" customFormat="1" ht="18">
      <c r="A210"/>
      <c r="B210" s="1225"/>
      <c r="C210" s="1999"/>
      <c r="D210" s="1999"/>
      <c r="E210" s="1999"/>
      <c r="F210" s="2002"/>
      <c r="G210" s="33"/>
      <c r="H210" s="1266"/>
      <c r="J210"/>
      <c r="K210" s="3"/>
      <c r="L210" s="3"/>
      <c r="M210" s="3"/>
      <c r="N210" s="3"/>
      <c r="O210"/>
      <c r="P210"/>
      <c r="Q210"/>
    </row>
    <row r="211" spans="1:17" s="766" customFormat="1" ht="18">
      <c r="A211"/>
      <c r="B211" s="1225"/>
      <c r="C211" s="1999"/>
      <c r="D211" s="1999"/>
      <c r="E211" s="1999"/>
      <c r="F211" s="1999"/>
      <c r="G211" s="31"/>
      <c r="H211" s="1265"/>
      <c r="J211"/>
      <c r="K211" s="3"/>
      <c r="L211" s="3"/>
      <c r="M211" s="3"/>
      <c r="N211" s="3"/>
      <c r="O211"/>
      <c r="P211"/>
      <c r="Q211"/>
    </row>
    <row r="212" spans="1:17" s="766" customFormat="1" ht="18">
      <c r="A212"/>
      <c r="B212" s="1225"/>
      <c r="C212" s="1999"/>
      <c r="D212" s="1999"/>
      <c r="E212" s="1999"/>
      <c r="F212" s="1226" t="str">
        <f>+F129</f>
        <v>KAILASH AGARWAL - WHOLE TIME DIRECTOR</v>
      </c>
      <c r="G212" s="31"/>
      <c r="H212" s="1265"/>
      <c r="J212"/>
      <c r="K212" s="3"/>
      <c r="L212" s="3"/>
      <c r="M212" s="3"/>
      <c r="N212" s="3"/>
      <c r="O212"/>
      <c r="P212"/>
      <c r="Q212"/>
    </row>
    <row r="213" spans="1:17" s="766" customFormat="1" ht="18">
      <c r="A213"/>
      <c r="B213" s="1225" t="str">
        <f>+B132</f>
        <v>SUMIT M. DARAK</v>
      </c>
      <c r="C213" s="1226"/>
      <c r="D213" s="1226"/>
      <c r="E213" s="1226"/>
      <c r="F213" s="1999" t="str">
        <f>+F130</f>
        <v>(DIN:00367292)</v>
      </c>
      <c r="G213" s="31"/>
      <c r="H213" s="1265"/>
      <c r="J213"/>
      <c r="K213" s="3"/>
      <c r="L213" s="3"/>
      <c r="M213" s="3"/>
      <c r="N213" s="3"/>
      <c r="O213"/>
      <c r="P213"/>
      <c r="Q213"/>
    </row>
    <row r="214" spans="1:17" s="766" customFormat="1" ht="18">
      <c r="A214"/>
      <c r="B214" s="1225" t="str">
        <f>+B134</f>
        <v>MEMBERSHIP NO. : 141902</v>
      </c>
      <c r="C214" s="34"/>
      <c r="D214" s="34"/>
      <c r="E214" s="34"/>
      <c r="F214" s="2002"/>
      <c r="G214" s="33"/>
      <c r="H214" s="1266"/>
      <c r="J214"/>
      <c r="K214" s="3"/>
      <c r="L214" s="3"/>
      <c r="M214" s="3"/>
      <c r="N214" s="3"/>
      <c r="O214"/>
      <c r="P214"/>
      <c r="Q214"/>
    </row>
    <row r="215" spans="1:17" s="766" customFormat="1" ht="18">
      <c r="A215"/>
      <c r="B215" s="1229" t="str">
        <f>+B135</f>
        <v>Place: Nagpur</v>
      </c>
      <c r="C215" s="35"/>
      <c r="D215" s="35"/>
      <c r="E215" s="35"/>
      <c r="F215" s="1999"/>
      <c r="G215" s="31"/>
      <c r="H215" s="1265"/>
      <c r="J215"/>
      <c r="K215" s="3"/>
      <c r="L215" s="3"/>
      <c r="M215" s="3"/>
      <c r="N215" s="3"/>
      <c r="O215"/>
      <c r="P215"/>
      <c r="Q215"/>
    </row>
    <row r="216" spans="1:17" s="766" customFormat="1" ht="18">
      <c r="A216"/>
      <c r="B216" s="1229" t="str">
        <f>+B136</f>
        <v>Date: 27/05/2023</v>
      </c>
      <c r="C216" s="35"/>
      <c r="D216" s="35"/>
      <c r="E216" s="35"/>
      <c r="F216" s="2193" t="str">
        <f>+F134</f>
        <v>JARNAIL SINGH SAINI - CHIEF FINANCIAL OFFICER &amp; EXECUTIVE DIRECTOR</v>
      </c>
      <c r="G216" s="2193"/>
      <c r="H216" s="2194"/>
      <c r="J216"/>
      <c r="K216" s="3"/>
      <c r="L216" s="3"/>
      <c r="M216" s="3"/>
      <c r="N216" s="3"/>
      <c r="O216"/>
      <c r="P216"/>
      <c r="Q216"/>
    </row>
    <row r="217" spans="1:17" s="766" customFormat="1" ht="18">
      <c r="A217"/>
      <c r="B217" s="1229" t="str">
        <f>+B137</f>
        <v>UDIN: 23141902BGXWON4071</v>
      </c>
      <c r="C217" s="35"/>
      <c r="D217" s="35"/>
      <c r="E217" s="35"/>
      <c r="F217" s="2201" t="str">
        <f>+F135</f>
        <v>(DIN:00367656)</v>
      </c>
      <c r="G217" s="2201"/>
      <c r="H217" s="2202"/>
      <c r="J217"/>
      <c r="K217" s="3"/>
      <c r="L217" s="3"/>
      <c r="M217" s="3"/>
      <c r="N217" s="3"/>
      <c r="O217"/>
      <c r="P217"/>
      <c r="Q217"/>
    </row>
    <row r="218" spans="1:17" s="766" customFormat="1" ht="18">
      <c r="A218"/>
      <c r="B218" s="1229"/>
      <c r="C218" s="1999"/>
      <c r="D218" s="1999"/>
      <c r="E218" s="1999"/>
      <c r="F218" s="1999"/>
      <c r="G218" s="31"/>
      <c r="H218" s="1265"/>
      <c r="J218"/>
      <c r="K218" s="3"/>
      <c r="L218" s="3"/>
      <c r="M218" s="3"/>
      <c r="N218" s="3"/>
      <c r="O218"/>
      <c r="P218"/>
      <c r="Q218"/>
    </row>
    <row r="219" spans="1:17" s="766" customFormat="1" ht="18">
      <c r="A219"/>
      <c r="B219" s="1225"/>
      <c r="C219" s="1999"/>
      <c r="D219" s="1999"/>
      <c r="E219" s="1999"/>
      <c r="F219" s="1999"/>
      <c r="G219" s="31"/>
      <c r="H219" s="1265"/>
      <c r="J219"/>
      <c r="K219" s="3"/>
      <c r="L219" s="3"/>
      <c r="M219" s="3"/>
      <c r="N219" s="3"/>
      <c r="O219"/>
      <c r="P219"/>
      <c r="Q219"/>
    </row>
    <row r="220" spans="1:17" s="766" customFormat="1" ht="18">
      <c r="A220"/>
      <c r="B220" s="1229"/>
      <c r="C220" s="1999"/>
      <c r="D220" s="1999"/>
      <c r="E220" s="1999"/>
      <c r="F220" s="1226" t="str">
        <f>+F139</f>
        <v>OMPRAKASH RATHI - WHOLE TIME DIRECTOR</v>
      </c>
      <c r="G220" s="31"/>
      <c r="H220" s="1265"/>
      <c r="J220"/>
      <c r="K220" s="3"/>
      <c r="L220" s="3"/>
      <c r="M220" s="3"/>
      <c r="N220" s="3"/>
      <c r="O220"/>
      <c r="P220"/>
      <c r="Q220"/>
    </row>
    <row r="221" spans="1:17" s="766" customFormat="1" ht="18">
      <c r="A221"/>
      <c r="B221" s="1229"/>
      <c r="C221" s="1999"/>
      <c r="D221" s="1999"/>
      <c r="E221" s="1999"/>
      <c r="F221" s="1999" t="str">
        <f>+F140</f>
        <v>(DIN:00895316)</v>
      </c>
      <c r="G221" s="33"/>
      <c r="H221" s="1266"/>
      <c r="J221"/>
      <c r="K221" s="3"/>
      <c r="L221" s="3"/>
      <c r="M221" s="3"/>
      <c r="N221" s="3"/>
      <c r="O221"/>
      <c r="P221"/>
      <c r="Q221"/>
    </row>
    <row r="222" spans="1:17" s="766" customFormat="1" ht="18">
      <c r="A222"/>
      <c r="B222" s="1229"/>
      <c r="C222" s="1999"/>
      <c r="D222" s="1999"/>
      <c r="E222" s="1999"/>
      <c r="F222" s="1999"/>
      <c r="G222" s="31"/>
      <c r="H222" s="1265"/>
      <c r="J222"/>
      <c r="K222" s="3"/>
      <c r="L222" s="3"/>
      <c r="M222" s="3"/>
      <c r="N222" s="3"/>
      <c r="O222"/>
      <c r="P222"/>
      <c r="Q222"/>
    </row>
    <row r="223" spans="1:17" s="766" customFormat="1" ht="18">
      <c r="A223"/>
      <c r="B223" s="1229"/>
      <c r="C223" s="1999"/>
      <c r="D223" s="1999"/>
      <c r="E223" s="1999"/>
      <c r="F223" s="1999"/>
      <c r="G223" s="31"/>
      <c r="H223" s="1265"/>
      <c r="J223"/>
      <c r="K223" s="3"/>
      <c r="L223" s="3"/>
      <c r="M223" s="3"/>
      <c r="N223" s="3"/>
      <c r="O223"/>
      <c r="P223"/>
      <c r="Q223"/>
    </row>
    <row r="224" spans="1:17" s="766" customFormat="1" ht="18">
      <c r="A224"/>
      <c r="B224" s="1229"/>
      <c r="C224" s="1999"/>
      <c r="D224" s="1999"/>
      <c r="E224" s="1999"/>
      <c r="F224" s="1226" t="str">
        <f>+F144</f>
        <v>MAYANK LUNIYA - COMPANY SECRETARY</v>
      </c>
      <c r="G224" s="31"/>
      <c r="H224" s="1265"/>
      <c r="J224"/>
      <c r="K224" s="3"/>
      <c r="L224" s="3"/>
      <c r="M224" s="3"/>
      <c r="N224" s="3"/>
      <c r="O224"/>
      <c r="P224"/>
      <c r="Q224"/>
    </row>
    <row r="225" spans="1:17" s="766" customFormat="1" ht="18">
      <c r="A225"/>
      <c r="B225" s="1229"/>
      <c r="C225" s="1999"/>
      <c r="D225" s="1999"/>
      <c r="E225" s="1999"/>
      <c r="F225" s="1999" t="str">
        <f>+F145</f>
        <v>Place: Nagpur</v>
      </c>
      <c r="G225" s="31"/>
      <c r="H225" s="1265"/>
      <c r="J225"/>
      <c r="K225" s="3"/>
      <c r="L225" s="3"/>
      <c r="M225" s="3"/>
      <c r="N225" s="3"/>
      <c r="O225"/>
      <c r="P225"/>
      <c r="Q225"/>
    </row>
    <row r="226" spans="1:17" s="766" customFormat="1" ht="18.600000000000001" thickBot="1">
      <c r="A226"/>
      <c r="B226" s="1440"/>
      <c r="C226" s="1441"/>
      <c r="D226" s="1441"/>
      <c r="E226" s="1441"/>
      <c r="F226" s="1441" t="str">
        <f>+F146</f>
        <v>Date: 27/05/2023</v>
      </c>
      <c r="G226" s="1438"/>
      <c r="H226" s="1439"/>
      <c r="J226"/>
      <c r="K226" s="3"/>
      <c r="L226" s="3"/>
      <c r="M226" s="3"/>
      <c r="N226" s="3"/>
      <c r="O226"/>
      <c r="P226"/>
      <c r="Q226"/>
    </row>
    <row r="227" spans="1:17" s="766" customFormat="1" ht="18">
      <c r="A227"/>
      <c r="B227" s="2206" t="s">
        <v>785</v>
      </c>
      <c r="C227" s="2207"/>
      <c r="D227" s="2207"/>
      <c r="E227" s="2207"/>
      <c r="F227" s="2207"/>
      <c r="G227" s="2207"/>
      <c r="H227" s="2208"/>
      <c r="J227"/>
      <c r="K227" s="3"/>
      <c r="L227" s="3"/>
      <c r="M227" s="3"/>
      <c r="N227" s="3"/>
      <c r="O227"/>
      <c r="P227"/>
      <c r="Q227"/>
    </row>
    <row r="228" spans="1:17" s="766" customFormat="1" ht="18">
      <c r="A228"/>
      <c r="B228" s="2124" t="s">
        <v>2241</v>
      </c>
      <c r="C228" s="2125"/>
      <c r="D228" s="2125"/>
      <c r="E228" s="2125"/>
      <c r="F228" s="2125"/>
      <c r="G228" s="2125"/>
      <c r="H228" s="2126"/>
      <c r="J228"/>
      <c r="K228" s="3"/>
      <c r="L228" s="3"/>
      <c r="M228" s="3"/>
      <c r="N228" s="3"/>
      <c r="O228"/>
      <c r="P228"/>
      <c r="Q228"/>
    </row>
    <row r="229" spans="1:17" s="766" customFormat="1" ht="18">
      <c r="A229"/>
      <c r="B229" s="1531"/>
      <c r="C229" s="1529"/>
      <c r="D229" s="1529"/>
      <c r="E229" s="1529"/>
      <c r="F229" s="1529"/>
      <c r="G229" s="2106" t="s">
        <v>3123</v>
      </c>
      <c r="H229" s="2107"/>
      <c r="J229"/>
      <c r="K229" s="3"/>
      <c r="L229" s="3"/>
      <c r="M229" s="3"/>
      <c r="N229" s="3"/>
      <c r="O229"/>
      <c r="P229"/>
      <c r="Q229"/>
    </row>
    <row r="230" spans="1:17" s="766" customFormat="1" ht="18">
      <c r="A230"/>
      <c r="B230" s="1287" t="s">
        <v>0</v>
      </c>
      <c r="C230" s="1288"/>
      <c r="D230" s="1288"/>
      <c r="E230" s="1288"/>
      <c r="F230" s="1289"/>
      <c r="G230" s="1237" t="s">
        <v>788</v>
      </c>
      <c r="H230" s="1238" t="s">
        <v>788</v>
      </c>
      <c r="J230"/>
      <c r="K230" s="3"/>
      <c r="L230" s="3"/>
      <c r="M230" s="3"/>
      <c r="N230" s="3"/>
      <c r="O230"/>
      <c r="P230"/>
      <c r="Q230"/>
    </row>
    <row r="231" spans="1:17" s="766" customFormat="1" ht="18">
      <c r="A231"/>
      <c r="B231" s="1269"/>
      <c r="C231" s="55"/>
      <c r="D231" s="55"/>
      <c r="E231" s="55"/>
      <c r="F231" s="56"/>
      <c r="G231" s="41" t="str">
        <f>+G6</f>
        <v>March 31, 2023 (₹)</v>
      </c>
      <c r="H231" s="1272" t="str">
        <f>+H6</f>
        <v>March 31, 2022 (₹)</v>
      </c>
      <c r="J231"/>
      <c r="K231" s="3"/>
      <c r="L231" s="3"/>
      <c r="M231" s="3"/>
      <c r="N231" s="3"/>
      <c r="O231"/>
      <c r="P231"/>
      <c r="Q231"/>
    </row>
    <row r="232" spans="1:17" s="766" customFormat="1" ht="18">
      <c r="A232"/>
      <c r="B232" s="1297"/>
      <c r="C232" s="34"/>
      <c r="D232" s="34"/>
      <c r="E232" s="34"/>
      <c r="F232" s="1958"/>
      <c r="G232" s="67"/>
      <c r="H232" s="1309"/>
      <c r="J232"/>
      <c r="K232" s="3"/>
      <c r="L232" s="3"/>
      <c r="M232" s="3"/>
      <c r="N232" s="3"/>
      <c r="O232"/>
      <c r="P232"/>
      <c r="Q232"/>
    </row>
    <row r="233" spans="1:17" s="766" customFormat="1" ht="18">
      <c r="A233"/>
      <c r="B233" s="1310" t="s">
        <v>889</v>
      </c>
      <c r="C233" s="68"/>
      <c r="D233" s="68"/>
      <c r="E233" s="68"/>
      <c r="F233" s="1959"/>
      <c r="G233" s="59"/>
      <c r="H233" s="1293"/>
      <c r="J233"/>
      <c r="K233" s="3"/>
      <c r="L233" s="3"/>
      <c r="M233" s="3"/>
      <c r="N233" s="3"/>
      <c r="O233"/>
      <c r="P233"/>
      <c r="Q233"/>
    </row>
    <row r="234" spans="1:17" s="766" customFormat="1" ht="18">
      <c r="A234"/>
      <c r="B234" s="1311" t="s">
        <v>890</v>
      </c>
      <c r="C234" s="68"/>
      <c r="D234" s="68"/>
      <c r="E234" s="68"/>
      <c r="F234" s="1959"/>
      <c r="G234" s="59"/>
      <c r="H234" s="1293"/>
      <c r="J234"/>
      <c r="K234" s="3"/>
      <c r="L234" s="3"/>
      <c r="M234" s="3"/>
      <c r="N234" s="3"/>
      <c r="O234"/>
      <c r="P234"/>
      <c r="Q234"/>
    </row>
    <row r="235" spans="1:17" s="766" customFormat="1" ht="18">
      <c r="A235"/>
      <c r="B235" s="2170" t="s">
        <v>891</v>
      </c>
      <c r="C235" s="2171"/>
      <c r="D235" s="2171"/>
      <c r="E235" s="2171"/>
      <c r="F235" s="2171"/>
      <c r="G235" s="69"/>
      <c r="H235" s="1312"/>
      <c r="J235"/>
      <c r="K235" s="3"/>
      <c r="L235" s="3"/>
      <c r="M235" s="3"/>
      <c r="N235" s="3"/>
      <c r="O235"/>
      <c r="P235"/>
      <c r="Q235"/>
    </row>
    <row r="236" spans="1:17" s="766" customFormat="1" ht="18">
      <c r="A236"/>
      <c r="B236" s="2229" t="s">
        <v>892</v>
      </c>
      <c r="C236" s="2230"/>
      <c r="D236" s="2230"/>
      <c r="E236" s="2230"/>
      <c r="F236" s="2230"/>
      <c r="G236" s="1853">
        <f>+GETPIVOTDATA("Sum of Dr. Final 22-23",Pivot!$A$3,"Note",3,"BS Main Head","Other Financial Assets - Non Current","BS Sub Head","Balance with Bank in Deposit Accounts")/A1</f>
        <v>34.696260000000002</v>
      </c>
      <c r="H236" s="1854">
        <f>+GETPIVOTDATA("Sum of Dr. Final 21-22",Pivot!$A$3,"Note",3,"BS Main Head","Other Financial Assets - Non Current","BS Sub Head","Balance with Bank in Deposit Accounts")/A1</f>
        <v>23.834786099999999</v>
      </c>
      <c r="J236"/>
      <c r="K236" s="3"/>
      <c r="L236" s="3"/>
      <c r="M236" s="3"/>
      <c r="N236" s="3"/>
      <c r="O236"/>
      <c r="P236"/>
      <c r="Q236"/>
    </row>
    <row r="237" spans="1:17" s="766" customFormat="1" ht="18">
      <c r="A237"/>
      <c r="B237" s="1229"/>
      <c r="C237" s="1999"/>
      <c r="D237" s="1999"/>
      <c r="E237" s="1999"/>
      <c r="F237" s="1999"/>
      <c r="G237" s="71"/>
      <c r="H237" s="1293"/>
      <c r="J237"/>
      <c r="K237" s="3"/>
      <c r="L237" s="3"/>
      <c r="M237" s="3"/>
      <c r="N237" s="3"/>
      <c r="O237"/>
      <c r="P237"/>
      <c r="Q237"/>
    </row>
    <row r="238" spans="1:17" s="766" customFormat="1" ht="18.600000000000001" thickBot="1">
      <c r="A238"/>
      <c r="B238" s="1297"/>
      <c r="C238" s="34"/>
      <c r="D238" s="34"/>
      <c r="E238" s="34"/>
      <c r="F238" s="1959"/>
      <c r="G238" s="1855">
        <f>+SUM(G235:G237)</f>
        <v>34.696260000000002</v>
      </c>
      <c r="H238" s="1856">
        <f>+SUM(H235:H237)</f>
        <v>23.834786099999999</v>
      </c>
      <c r="J238"/>
      <c r="K238" s="3"/>
      <c r="L238" s="3"/>
      <c r="M238" s="3"/>
      <c r="N238" s="3"/>
      <c r="O238"/>
      <c r="P238"/>
      <c r="Q238"/>
    </row>
    <row r="239" spans="1:17" s="766" customFormat="1" ht="18.600000000000001" thickTop="1">
      <c r="A239"/>
      <c r="B239" s="1315"/>
      <c r="C239" s="73"/>
      <c r="D239" s="73"/>
      <c r="E239" s="73"/>
      <c r="F239" s="1959"/>
      <c r="G239" s="71"/>
      <c r="H239" s="1293"/>
      <c r="J239"/>
      <c r="K239" s="3"/>
      <c r="L239" s="3"/>
      <c r="M239" s="3"/>
      <c r="N239" s="3"/>
      <c r="O239"/>
      <c r="P239"/>
      <c r="Q239"/>
    </row>
    <row r="240" spans="1:17" s="766" customFormat="1" ht="18">
      <c r="A240"/>
      <c r="B240" s="1310" t="s">
        <v>893</v>
      </c>
      <c r="C240" s="68"/>
      <c r="D240" s="68"/>
      <c r="E240" s="68"/>
      <c r="F240" s="1959"/>
      <c r="G240" s="71"/>
      <c r="H240" s="1293"/>
      <c r="J240"/>
      <c r="K240" s="3"/>
      <c r="L240" s="3"/>
      <c r="M240" s="3"/>
      <c r="N240" s="3"/>
      <c r="O240"/>
      <c r="P240"/>
      <c r="Q240"/>
    </row>
    <row r="241" spans="1:17" s="766" customFormat="1" ht="18">
      <c r="A241"/>
      <c r="B241" s="1311" t="s">
        <v>890</v>
      </c>
      <c r="C241" s="68"/>
      <c r="D241" s="68"/>
      <c r="E241" s="68"/>
      <c r="F241" s="1959"/>
      <c r="G241" s="71"/>
      <c r="H241" s="1293"/>
      <c r="J241"/>
      <c r="K241" s="3"/>
      <c r="L241" s="3"/>
      <c r="M241" s="3"/>
      <c r="N241" s="3"/>
      <c r="O241"/>
      <c r="P241"/>
      <c r="Q241"/>
    </row>
    <row r="242" spans="1:17" s="766" customFormat="1" ht="18">
      <c r="A242"/>
      <c r="B242" s="1316" t="s">
        <v>894</v>
      </c>
      <c r="C242" s="2024"/>
      <c r="D242" s="2024"/>
      <c r="E242" s="2024"/>
      <c r="F242" s="2025"/>
      <c r="G242" s="1905">
        <f>+GETPIVOTDATA("Sum of Dr. Final 22-23",Pivot!$A$3,"Note",4,"BS Main Head","Other Non Current Assets","BS Sub Head","Advance For Capital Goods")/A1</f>
        <v>2.27</v>
      </c>
      <c r="H242" s="1854">
        <f>+GETPIVOTDATA("Sum of Dr. Final 21-22",Pivot!$A$3,"Note",4,"BS Main Head","Other Non Current Assets","BS Sub Head","Advance For Capital Goods")/A1</f>
        <v>137.9393</v>
      </c>
      <c r="J242"/>
      <c r="K242" s="3"/>
      <c r="L242" s="3"/>
      <c r="M242" s="3"/>
      <c r="N242" s="3"/>
      <c r="O242"/>
      <c r="P242"/>
      <c r="Q242"/>
    </row>
    <row r="243" spans="1:17" s="766" customFormat="1" ht="18">
      <c r="A243"/>
      <c r="B243" s="1316" t="s">
        <v>129</v>
      </c>
      <c r="C243" s="2024"/>
      <c r="D243" s="2024"/>
      <c r="E243" s="2024"/>
      <c r="F243" s="2025"/>
      <c r="G243" s="1905">
        <f>+GETPIVOTDATA("Sum of Dr. Final 22-23",Pivot!$A$3,"Note",4,"BS Main Head","Other Non Current Assets","BS Sub Head","Long Term Deposits")/A1</f>
        <v>51.435969999999998</v>
      </c>
      <c r="H243" s="1854">
        <f>+GETPIVOTDATA("Sum of Dr. Final 21-22",Pivot!$A$3,"Note",4,"BS Main Head","Other Non Current Assets","BS Sub Head","Long Term Deposits")/A1</f>
        <v>5.8967700000000001</v>
      </c>
      <c r="J243"/>
      <c r="K243" s="3"/>
      <c r="L243" s="3"/>
      <c r="M243" s="3"/>
      <c r="N243" s="3"/>
      <c r="O243"/>
      <c r="P243"/>
      <c r="Q243"/>
    </row>
    <row r="244" spans="1:17" s="766" customFormat="1" ht="18">
      <c r="A244"/>
      <c r="B244" s="1297" t="s">
        <v>122</v>
      </c>
      <c r="C244" s="34"/>
      <c r="D244" s="34"/>
      <c r="E244" s="34"/>
      <c r="F244" s="75"/>
      <c r="G244" s="1905">
        <f>+(GETPIVOTDATA("Sum of Dr. Final 22-23",Pivot!$A$3,"Note",4,"BS Main Head","Other Non Current Assets","BS Sub Head","Balance with Government Authorities"))/A1-G295</f>
        <v>106.39075000000001</v>
      </c>
      <c r="H244" s="1854">
        <f>+(GETPIVOTDATA("Sum of Dr. Final 21-22",Pivot!$A$3,"Note",4,"BS Main Head","Other Non Current Assets","BS Sub Head","Balance with Government Authorities"))/A1-H295</f>
        <v>88.494410000000002</v>
      </c>
      <c r="J244"/>
      <c r="K244" s="3"/>
      <c r="L244" s="3"/>
      <c r="M244" s="3"/>
      <c r="N244" s="3"/>
      <c r="O244"/>
      <c r="P244"/>
      <c r="Q244"/>
    </row>
    <row r="245" spans="1:17" s="766" customFormat="1" ht="18">
      <c r="A245"/>
      <c r="B245" s="1297"/>
      <c r="C245" s="34"/>
      <c r="D245" s="34"/>
      <c r="E245" s="34"/>
      <c r="F245" s="1959"/>
      <c r="G245" s="1869">
        <f>+SUM(G242:G244)</f>
        <v>160.09672</v>
      </c>
      <c r="H245" s="1870">
        <f>+SUM(H242:H244)</f>
        <v>232.33048000000002</v>
      </c>
      <c r="J245"/>
      <c r="K245" s="3"/>
      <c r="L245" s="3"/>
      <c r="M245" s="3"/>
      <c r="N245" s="3"/>
      <c r="O245"/>
      <c r="P245"/>
      <c r="Q245"/>
    </row>
    <row r="246" spans="1:17" s="766" customFormat="1" ht="18">
      <c r="A246"/>
      <c r="B246" s="1310" t="s">
        <v>895</v>
      </c>
      <c r="C246" s="68"/>
      <c r="D246" s="68"/>
      <c r="E246" s="68"/>
      <c r="F246" s="1959"/>
      <c r="G246" s="71"/>
      <c r="H246" s="1293"/>
      <c r="J246"/>
      <c r="K246" s="3"/>
      <c r="L246" s="3"/>
      <c r="M246" s="3"/>
      <c r="N246" s="3"/>
      <c r="O246"/>
      <c r="P246"/>
      <c r="Q246"/>
    </row>
    <row r="247" spans="1:17" s="766" customFormat="1" ht="18">
      <c r="A247"/>
      <c r="B247" s="1317" t="s">
        <v>896</v>
      </c>
      <c r="C247" s="68"/>
      <c r="D247" s="68"/>
      <c r="E247" s="68"/>
      <c r="F247" s="1959"/>
      <c r="G247" s="71"/>
      <c r="H247" s="1293"/>
      <c r="J247"/>
      <c r="K247" s="3"/>
      <c r="L247" s="3"/>
      <c r="M247" s="3"/>
      <c r="N247" s="3"/>
      <c r="O247"/>
      <c r="P247"/>
      <c r="Q247"/>
    </row>
    <row r="248" spans="1:17" s="766" customFormat="1" ht="18">
      <c r="A248"/>
      <c r="B248" s="1318" t="s">
        <v>897</v>
      </c>
      <c r="C248" s="2026"/>
      <c r="D248" s="2026"/>
      <c r="E248" s="2026"/>
      <c r="F248" s="1959"/>
      <c r="G248" s="1857">
        <f>+G497</f>
        <v>345.50732833638398</v>
      </c>
      <c r="H248" s="1858">
        <f>+H497</f>
        <v>234.99723</v>
      </c>
      <c r="J248"/>
      <c r="K248" s="3"/>
      <c r="L248" s="3"/>
      <c r="M248" s="3"/>
      <c r="N248" s="3"/>
      <c r="O248"/>
      <c r="P248"/>
      <c r="Q248"/>
    </row>
    <row r="249" spans="1:17" s="766" customFormat="1" ht="18">
      <c r="A249"/>
      <c r="B249" s="1297" t="s">
        <v>898</v>
      </c>
      <c r="C249" s="2026"/>
      <c r="D249" s="2026"/>
      <c r="E249" s="2026"/>
      <c r="F249" s="1959"/>
      <c r="G249" s="1899">
        <f>+('CLOSING STOCK 22-23'!P25+'CLOSING STOCK 22-23'!P29+'CLOSING STOCK 22-23'!P31+'CLOSING STOCK 22-23'!P37)/A1</f>
        <v>116.46720999999999</v>
      </c>
      <c r="H249" s="1858">
        <f>(1342056+656155+8287041+720000)/A1</f>
        <v>110.05252</v>
      </c>
      <c r="J249"/>
      <c r="K249" s="3"/>
      <c r="L249" s="3"/>
      <c r="M249" s="3"/>
      <c r="N249" s="3"/>
      <c r="O249"/>
      <c r="P249"/>
      <c r="Q249"/>
    </row>
    <row r="250" spans="1:17" s="766" customFormat="1" ht="18">
      <c r="A250"/>
      <c r="B250" s="1318" t="s">
        <v>899</v>
      </c>
      <c r="C250" s="2026"/>
      <c r="D250" s="2026"/>
      <c r="E250" s="2026"/>
      <c r="F250" s="1959"/>
      <c r="G250" s="1857">
        <f>+G501</f>
        <v>164.65226999999999</v>
      </c>
      <c r="H250" s="1858">
        <f>17088292/A1</f>
        <v>170.88292000000001</v>
      </c>
      <c r="J250"/>
      <c r="K250" s="3"/>
      <c r="L250" s="3"/>
      <c r="M250" s="3"/>
      <c r="N250" s="3"/>
      <c r="O250"/>
      <c r="P250"/>
      <c r="Q250"/>
    </row>
    <row r="251" spans="1:17" s="766" customFormat="1" ht="18">
      <c r="A251"/>
      <c r="B251" s="1318" t="s">
        <v>900</v>
      </c>
      <c r="C251" s="2026"/>
      <c r="D251" s="2026"/>
      <c r="E251" s="2026"/>
      <c r="F251" s="2026"/>
      <c r="G251" s="1887"/>
      <c r="H251" s="1888"/>
      <c r="J251"/>
      <c r="K251" s="3"/>
      <c r="L251" s="3"/>
      <c r="M251" s="3"/>
      <c r="N251" s="3"/>
      <c r="O251"/>
      <c r="P251"/>
      <c r="Q251"/>
    </row>
    <row r="252" spans="1:17" ht="18.600000000000001" thickBot="1">
      <c r="B252" s="1318"/>
      <c r="C252" s="2026"/>
      <c r="D252" s="2026"/>
      <c r="E252" s="2026"/>
      <c r="F252" s="2026"/>
      <c r="G252" s="1855">
        <f>+SUM(G248:G250)</f>
        <v>626.62680833638387</v>
      </c>
      <c r="H252" s="1856">
        <f>+SUM(H248:H250)</f>
        <v>515.93267000000003</v>
      </c>
    </row>
    <row r="253" spans="1:17" ht="18.600000000000001" thickTop="1">
      <c r="B253" s="1310" t="s">
        <v>901</v>
      </c>
      <c r="C253" s="68"/>
      <c r="D253" s="68"/>
      <c r="E253" s="68"/>
      <c r="F253" s="1959"/>
      <c r="G253" s="71"/>
      <c r="H253" s="1293"/>
    </row>
    <row r="254" spans="1:17" ht="18">
      <c r="B254" s="1283" t="s">
        <v>890</v>
      </c>
      <c r="C254" s="2027"/>
      <c r="D254" s="2027"/>
      <c r="E254" s="2027"/>
      <c r="F254" s="1959"/>
      <c r="G254" s="71"/>
      <c r="H254" s="1293"/>
    </row>
    <row r="255" spans="1:17" ht="18">
      <c r="B255" s="1318" t="s">
        <v>902</v>
      </c>
      <c r="C255" s="2026"/>
      <c r="D255" s="2026"/>
      <c r="E255" s="2026"/>
      <c r="F255" s="1959"/>
      <c r="G255" s="71"/>
      <c r="H255" s="1293"/>
    </row>
    <row r="256" spans="1:17" ht="18">
      <c r="B256" s="1318" t="s">
        <v>903</v>
      </c>
      <c r="C256" s="2026"/>
      <c r="D256" s="2026"/>
      <c r="E256" s="2026"/>
      <c r="F256" s="1959"/>
      <c r="G256" s="1863">
        <f>+G840+G841</f>
        <v>112.04872999999999</v>
      </c>
      <c r="H256" s="1281">
        <f>+H840+H841</f>
        <v>94.824920000000006</v>
      </c>
    </row>
    <row r="257" spans="1:17" ht="18">
      <c r="B257" s="1318" t="s">
        <v>904</v>
      </c>
      <c r="C257" s="2026"/>
      <c r="D257" s="2026"/>
      <c r="E257" s="2026"/>
      <c r="F257" s="1959"/>
      <c r="G257" s="1899">
        <f>+(GETPIVOTDATA("Sum of Dr. Final 22-23",Pivot!$A$3,"Note",6,"BS Main Head","Financial Assets")-GETPIVOTDATA("Sum of Cr. Final 22-23",Pivot!$A$3,"Note",6,"BS Main Head","Financial Assets"))/A1-G256</f>
        <v>1045.9736914</v>
      </c>
      <c r="H257" s="1858">
        <f>+(GETPIVOTDATA("Sum of Dr. Final 21-22",Pivot!$A$3,"Note",6,"BS Main Head","Financial Assets")-GETPIVOTDATA("Sum of Cr. Final 21-22",Pivot!$A$3,"Note",6,"BS Main Head","Financial Assets"))/A1-H256</f>
        <v>1570.7225443</v>
      </c>
    </row>
    <row r="258" spans="1:17" ht="18">
      <c r="B258" s="1318"/>
      <c r="C258" s="2026"/>
      <c r="D258" s="2026"/>
      <c r="E258" s="2026"/>
      <c r="F258" s="1959"/>
      <c r="G258" s="1869">
        <f>+SUM(G256:G257)</f>
        <v>1158.0224214</v>
      </c>
      <c r="H258" s="1870">
        <f>+SUM(H256:H257)</f>
        <v>1665.5474643</v>
      </c>
    </row>
    <row r="259" spans="1:17" ht="18">
      <c r="B259" s="1318"/>
      <c r="C259" s="2026"/>
      <c r="D259" s="2026"/>
      <c r="E259" s="2026"/>
      <c r="F259" s="1959"/>
      <c r="G259" s="77"/>
      <c r="H259" s="1251"/>
    </row>
    <row r="260" spans="1:17" ht="18">
      <c r="B260" s="1320" t="s">
        <v>905</v>
      </c>
      <c r="C260" s="2026"/>
      <c r="D260" s="2026"/>
      <c r="E260" s="2026"/>
      <c r="F260" s="1959"/>
      <c r="G260" s="77"/>
      <c r="H260" s="1251"/>
    </row>
    <row r="261" spans="1:17" ht="36.75" customHeight="1">
      <c r="B261" s="2175" t="s">
        <v>532</v>
      </c>
      <c r="C261" s="2231" t="s">
        <v>906</v>
      </c>
      <c r="D261" s="2232"/>
      <c r="E261" s="2232"/>
      <c r="F261" s="2232"/>
      <c r="G261" s="2232"/>
      <c r="H261" s="2233"/>
    </row>
    <row r="262" spans="1:17" ht="18">
      <c r="B262" s="2175"/>
      <c r="C262" s="2234" t="s">
        <v>907</v>
      </c>
      <c r="D262" s="2235"/>
      <c r="E262" s="1550" t="s">
        <v>908</v>
      </c>
      <c r="F262" s="1548" t="s">
        <v>909</v>
      </c>
      <c r="G262" s="1548" t="s">
        <v>910</v>
      </c>
      <c r="H262" s="1791" t="s">
        <v>910</v>
      </c>
    </row>
    <row r="263" spans="1:17" ht="36">
      <c r="B263" s="1816" t="s">
        <v>912</v>
      </c>
      <c r="C263" s="2277">
        <f>+('Debtor''s Ageing'!J508+'Debtor''s Ageing'!K508+'Debtor''s Ageing'!N433+'Debtor''s Ageing'!N135)/A1</f>
        <v>1155.70928</v>
      </c>
      <c r="D263" s="2278"/>
      <c r="E263" s="1900">
        <f>+('Debtor''s Ageing'!N154+'Debtor''s Ageing'!N155)/A1</f>
        <v>2.3131400000000002</v>
      </c>
      <c r="F263" s="1551">
        <v>0</v>
      </c>
      <c r="G263" s="1551">
        <v>0</v>
      </c>
      <c r="H263" s="1817">
        <v>0</v>
      </c>
      <c r="I263" s="767"/>
    </row>
    <row r="264" spans="1:17" ht="36">
      <c r="B264" s="1816" t="s">
        <v>913</v>
      </c>
      <c r="C264" s="2236">
        <v>0</v>
      </c>
      <c r="D264" s="2237"/>
      <c r="E264" s="1551">
        <v>0</v>
      </c>
      <c r="F264" s="1551">
        <v>0</v>
      </c>
      <c r="G264" s="1551">
        <v>0</v>
      </c>
      <c r="H264" s="1817">
        <v>0</v>
      </c>
    </row>
    <row r="265" spans="1:17" ht="36">
      <c r="B265" s="1816" t="s">
        <v>914</v>
      </c>
      <c r="C265" s="2236">
        <v>0</v>
      </c>
      <c r="D265" s="2237"/>
      <c r="E265" s="1551">
        <v>0</v>
      </c>
      <c r="F265" s="1551">
        <v>0</v>
      </c>
      <c r="G265" s="1551">
        <v>0</v>
      </c>
      <c r="H265" s="1817">
        <v>0</v>
      </c>
    </row>
    <row r="266" spans="1:17" ht="36">
      <c r="B266" s="1816" t="s">
        <v>915</v>
      </c>
      <c r="C266" s="2236">
        <v>0</v>
      </c>
      <c r="D266" s="2237"/>
      <c r="E266" s="1551">
        <v>0</v>
      </c>
      <c r="F266" s="1551">
        <v>0</v>
      </c>
      <c r="G266" s="1551">
        <v>0</v>
      </c>
      <c r="H266" s="1817">
        <v>0</v>
      </c>
    </row>
    <row r="267" spans="1:17" ht="18">
      <c r="B267" s="1318"/>
      <c r="C267" s="2026"/>
      <c r="D267" s="2026"/>
      <c r="E267" s="2026"/>
      <c r="F267" s="1959"/>
      <c r="G267" s="77"/>
      <c r="H267" s="1251"/>
    </row>
    <row r="268" spans="1:17" s="766" customFormat="1" ht="37.5" customHeight="1">
      <c r="A268"/>
      <c r="B268" s="2175" t="s">
        <v>532</v>
      </c>
      <c r="C268" s="2231" t="s">
        <v>916</v>
      </c>
      <c r="D268" s="2238"/>
      <c r="E268" s="2238"/>
      <c r="F268" s="2238"/>
      <c r="G268" s="2238"/>
      <c r="H268" s="2239"/>
      <c r="J268"/>
      <c r="K268" s="3"/>
      <c r="L268" s="3"/>
      <c r="M268" s="3"/>
      <c r="N268" s="3"/>
      <c r="O268"/>
      <c r="P268"/>
      <c r="Q268"/>
    </row>
    <row r="269" spans="1:17" s="766" customFormat="1" ht="18">
      <c r="A269"/>
      <c r="B269" s="2175"/>
      <c r="C269" s="2234" t="s">
        <v>907</v>
      </c>
      <c r="D269" s="2235"/>
      <c r="E269" s="1550" t="s">
        <v>908</v>
      </c>
      <c r="F269" s="1548" t="s">
        <v>909</v>
      </c>
      <c r="G269" s="1548" t="s">
        <v>910</v>
      </c>
      <c r="H269" s="1791" t="s">
        <v>910</v>
      </c>
      <c r="J269"/>
      <c r="K269" s="3"/>
      <c r="L269" s="3"/>
      <c r="M269" s="3"/>
      <c r="N269" s="3"/>
      <c r="O269"/>
      <c r="P269"/>
      <c r="Q269"/>
    </row>
    <row r="270" spans="1:17" s="766" customFormat="1" ht="36">
      <c r="A270"/>
      <c r="B270" s="1816" t="s">
        <v>917</v>
      </c>
      <c r="C270" s="2277">
        <f>166554746.43/A1</f>
        <v>1665.5474643</v>
      </c>
      <c r="D270" s="2278"/>
      <c r="E270" s="1551">
        <v>0</v>
      </c>
      <c r="F270" s="1551">
        <v>0</v>
      </c>
      <c r="G270" s="1551">
        <v>0</v>
      </c>
      <c r="H270" s="1817">
        <v>0</v>
      </c>
      <c r="J270"/>
      <c r="K270" s="3"/>
      <c r="L270" s="3"/>
      <c r="M270" s="3"/>
      <c r="N270" s="3"/>
      <c r="O270"/>
      <c r="P270"/>
      <c r="Q270"/>
    </row>
    <row r="271" spans="1:17" s="766" customFormat="1" ht="54">
      <c r="A271"/>
      <c r="B271" s="1816" t="s">
        <v>918</v>
      </c>
      <c r="C271" s="2236">
        <v>0</v>
      </c>
      <c r="D271" s="2237"/>
      <c r="E271" s="1551">
        <v>0</v>
      </c>
      <c r="F271" s="1551">
        <v>0</v>
      </c>
      <c r="G271" s="1551">
        <v>0</v>
      </c>
      <c r="H271" s="1817">
        <v>0</v>
      </c>
      <c r="J271"/>
      <c r="K271" s="3"/>
      <c r="L271" s="3"/>
      <c r="M271" s="3"/>
      <c r="N271" s="3"/>
      <c r="O271"/>
      <c r="P271"/>
      <c r="Q271"/>
    </row>
    <row r="272" spans="1:17" s="766" customFormat="1" ht="36">
      <c r="A272"/>
      <c r="B272" s="1816" t="s">
        <v>919</v>
      </c>
      <c r="C272" s="2236">
        <v>0</v>
      </c>
      <c r="D272" s="2237"/>
      <c r="E272" s="1551">
        <v>0</v>
      </c>
      <c r="F272" s="1551">
        <v>0</v>
      </c>
      <c r="G272" s="1551">
        <v>0</v>
      </c>
      <c r="H272" s="1817">
        <v>0</v>
      </c>
      <c r="J272"/>
      <c r="K272" s="3"/>
      <c r="L272" s="3"/>
      <c r="M272" s="3"/>
      <c r="N272" s="3"/>
      <c r="O272"/>
      <c r="P272"/>
      <c r="Q272"/>
    </row>
    <row r="273" spans="1:17" s="766" customFormat="1" ht="36">
      <c r="A273"/>
      <c r="B273" s="1816" t="s">
        <v>915</v>
      </c>
      <c r="C273" s="2236">
        <v>0</v>
      </c>
      <c r="D273" s="2237"/>
      <c r="E273" s="1551">
        <v>0</v>
      </c>
      <c r="F273" s="1551">
        <v>0</v>
      </c>
      <c r="G273" s="1551">
        <v>0</v>
      </c>
      <c r="H273" s="1817">
        <v>0</v>
      </c>
      <c r="J273"/>
      <c r="K273" s="3"/>
      <c r="L273" s="3"/>
      <c r="M273" s="3"/>
      <c r="N273" s="3"/>
      <c r="O273"/>
      <c r="P273"/>
      <c r="Q273"/>
    </row>
    <row r="274" spans="1:17" s="766" customFormat="1" ht="18">
      <c r="A274"/>
      <c r="B274" s="1318"/>
      <c r="C274" s="2026"/>
      <c r="D274" s="2026"/>
      <c r="E274" s="2026"/>
      <c r="F274" s="1959"/>
      <c r="G274" s="1321"/>
      <c r="H274" s="1322"/>
      <c r="J274"/>
      <c r="K274" s="3"/>
      <c r="L274" s="3"/>
      <c r="M274" s="3"/>
      <c r="N274" s="3"/>
      <c r="O274"/>
      <c r="P274"/>
      <c r="Q274"/>
    </row>
    <row r="275" spans="1:17" s="766" customFormat="1" ht="18">
      <c r="A275"/>
      <c r="B275" s="2108" t="s">
        <v>920</v>
      </c>
      <c r="C275" s="2109"/>
      <c r="D275" s="2109"/>
      <c r="E275" s="2109"/>
      <c r="F275" s="2109"/>
      <c r="G275" s="2109"/>
      <c r="H275" s="2172"/>
      <c r="J275"/>
      <c r="K275" s="3"/>
      <c r="L275" s="3"/>
      <c r="M275" s="3"/>
      <c r="N275" s="3"/>
      <c r="O275"/>
      <c r="P275"/>
      <c r="Q275"/>
    </row>
    <row r="276" spans="1:17" s="766" customFormat="1">
      <c r="A276"/>
      <c r="B276" s="2108" t="s">
        <v>2926</v>
      </c>
      <c r="C276" s="2109"/>
      <c r="D276" s="2109"/>
      <c r="E276" s="2109"/>
      <c r="F276" s="2109"/>
      <c r="G276" s="2109"/>
      <c r="H276" s="2172"/>
      <c r="J276"/>
      <c r="K276" s="3"/>
      <c r="L276" s="3"/>
      <c r="M276" s="3"/>
      <c r="N276" s="3"/>
      <c r="O276"/>
      <c r="P276"/>
      <c r="Q276"/>
    </row>
    <row r="277" spans="1:17" s="766" customFormat="1">
      <c r="A277"/>
      <c r="B277" s="2108"/>
      <c r="C277" s="2109"/>
      <c r="D277" s="2109"/>
      <c r="E277" s="2109"/>
      <c r="F277" s="2109"/>
      <c r="G277" s="2109"/>
      <c r="H277" s="2172"/>
      <c r="J277"/>
      <c r="K277" s="3"/>
      <c r="L277" s="3"/>
      <c r="M277" s="3"/>
      <c r="N277" s="3"/>
      <c r="O277"/>
      <c r="P277"/>
      <c r="Q277"/>
    </row>
    <row r="278" spans="1:17" s="766" customFormat="1" ht="85.2" customHeight="1" thickBot="1">
      <c r="A278"/>
      <c r="B278" s="2216"/>
      <c r="C278" s="2217"/>
      <c r="D278" s="2217"/>
      <c r="E278" s="2217"/>
      <c r="F278" s="2217"/>
      <c r="G278" s="2217"/>
      <c r="H278" s="2218"/>
      <c r="J278"/>
      <c r="K278" s="3"/>
      <c r="L278" s="3"/>
      <c r="M278" s="3"/>
      <c r="N278" s="3"/>
      <c r="O278"/>
      <c r="P278"/>
      <c r="Q278"/>
    </row>
    <row r="279" spans="1:17" s="766" customFormat="1" ht="18">
      <c r="A279"/>
      <c r="B279" s="2206" t="s">
        <v>785</v>
      </c>
      <c r="C279" s="2207"/>
      <c r="D279" s="2207"/>
      <c r="E279" s="2207"/>
      <c r="F279" s="2207"/>
      <c r="G279" s="2207"/>
      <c r="H279" s="2208"/>
      <c r="J279"/>
      <c r="K279" s="3"/>
      <c r="L279" s="3"/>
      <c r="M279" s="3"/>
      <c r="N279" s="3"/>
      <c r="O279"/>
      <c r="P279"/>
      <c r="Q279"/>
    </row>
    <row r="280" spans="1:17" s="766" customFormat="1" ht="18">
      <c r="A280"/>
      <c r="B280" s="2124" t="s">
        <v>2241</v>
      </c>
      <c r="C280" s="2125"/>
      <c r="D280" s="2125"/>
      <c r="E280" s="2125"/>
      <c r="F280" s="2125"/>
      <c r="G280" s="2125"/>
      <c r="H280" s="2126"/>
      <c r="J280"/>
      <c r="K280" s="3"/>
      <c r="L280" s="3"/>
      <c r="M280" s="3"/>
      <c r="N280" s="3"/>
      <c r="O280"/>
      <c r="P280"/>
      <c r="Q280"/>
    </row>
    <row r="281" spans="1:17" s="766" customFormat="1" ht="18">
      <c r="A281"/>
      <c r="B281" s="1531"/>
      <c r="C281" s="1529"/>
      <c r="D281" s="1529"/>
      <c r="E281" s="1529"/>
      <c r="F281" s="1529"/>
      <c r="G281" s="2106" t="s">
        <v>3123</v>
      </c>
      <c r="H281" s="2107"/>
      <c r="J281"/>
      <c r="K281" s="3"/>
      <c r="L281" s="3"/>
      <c r="M281" s="3"/>
      <c r="N281" s="3"/>
      <c r="O281"/>
      <c r="P281"/>
      <c r="Q281"/>
    </row>
    <row r="282" spans="1:17" s="766" customFormat="1" ht="18">
      <c r="A282"/>
      <c r="B282" s="1287" t="s">
        <v>0</v>
      </c>
      <c r="C282" s="1288"/>
      <c r="D282" s="1288"/>
      <c r="E282" s="1288"/>
      <c r="F282" s="1289"/>
      <c r="G282" s="1237" t="s">
        <v>788</v>
      </c>
      <c r="H282" s="1238" t="s">
        <v>788</v>
      </c>
      <c r="J282"/>
      <c r="K282" s="3"/>
      <c r="L282" s="3"/>
      <c r="M282" s="3"/>
      <c r="N282" s="3"/>
      <c r="O282"/>
      <c r="P282"/>
      <c r="Q282"/>
    </row>
    <row r="283" spans="1:17" s="766" customFormat="1" ht="18">
      <c r="A283"/>
      <c r="B283" s="1269"/>
      <c r="C283" s="55"/>
      <c r="D283" s="55"/>
      <c r="E283" s="55"/>
      <c r="F283" s="56"/>
      <c r="G283" s="41" t="str">
        <f>+G231</f>
        <v>March 31, 2023 (₹)</v>
      </c>
      <c r="H283" s="1272" t="str">
        <f>+H231</f>
        <v>March 31, 2022 (₹)</v>
      </c>
      <c r="J283"/>
      <c r="K283" s="3"/>
      <c r="L283" s="3"/>
      <c r="M283" s="3"/>
      <c r="N283" s="3"/>
      <c r="O283"/>
      <c r="P283"/>
      <c r="Q283"/>
    </row>
    <row r="284" spans="1:17" s="766" customFormat="1" ht="18">
      <c r="A284"/>
      <c r="B284" s="1310" t="s">
        <v>921</v>
      </c>
      <c r="C284" s="68"/>
      <c r="D284" s="68"/>
      <c r="E284" s="68"/>
      <c r="F284" s="1959"/>
      <c r="G284" s="71"/>
      <c r="H284" s="1293"/>
      <c r="J284"/>
      <c r="K284" s="3"/>
      <c r="L284" s="3"/>
      <c r="M284" s="3"/>
      <c r="N284" s="3"/>
      <c r="O284"/>
      <c r="P284"/>
      <c r="Q284"/>
    </row>
    <row r="285" spans="1:17" s="3" customFormat="1" ht="18">
      <c r="A285"/>
      <c r="B285" s="1315" t="s">
        <v>922</v>
      </c>
      <c r="C285" s="73"/>
      <c r="D285" s="73"/>
      <c r="E285" s="73"/>
      <c r="F285" s="1959"/>
      <c r="G285" s="71"/>
      <c r="H285" s="1293"/>
      <c r="I285" s="766"/>
      <c r="J285"/>
      <c r="O285"/>
      <c r="P285"/>
      <c r="Q285"/>
    </row>
    <row r="286" spans="1:17" s="3" customFormat="1" ht="18">
      <c r="A286"/>
      <c r="B286" s="1318" t="s">
        <v>923</v>
      </c>
      <c r="C286" s="2026"/>
      <c r="D286" s="2026"/>
      <c r="E286" s="2026"/>
      <c r="F286" s="1959"/>
      <c r="G286" s="1899">
        <f>+GETPIVOTDATA("Sum of Dr. Final 22-23",Pivot!$A$3,"Note",7,"BS Main Head","Cash and cash Equivalents","BS Sub Head","Cash On Hand")/A1</f>
        <v>2.3031600000000001</v>
      </c>
      <c r="H286" s="1858">
        <f>+GETPIVOTDATA("Sum of Dr. Final 21-22",Pivot!$A$3,"Note",7,"BS Main Head","Cash and cash Equivalents","BS Sub Head","Cash On Hand")/A1</f>
        <v>0.68389</v>
      </c>
      <c r="I286" s="766"/>
      <c r="J286"/>
      <c r="O286"/>
      <c r="P286"/>
      <c r="Q286"/>
    </row>
    <row r="287" spans="1:17" s="3" customFormat="1" ht="18">
      <c r="A287"/>
      <c r="B287" s="1318"/>
      <c r="C287" s="2026"/>
      <c r="D287" s="2026"/>
      <c r="E287" s="2026"/>
      <c r="F287" s="1959"/>
      <c r="G287" s="1899"/>
      <c r="H287" s="1858"/>
      <c r="I287" s="766"/>
      <c r="J287"/>
      <c r="O287"/>
      <c r="P287"/>
      <c r="Q287"/>
    </row>
    <row r="288" spans="1:17" s="3" customFormat="1" ht="18">
      <c r="A288"/>
      <c r="B288" s="1285" t="s">
        <v>924</v>
      </c>
      <c r="C288" s="2026"/>
      <c r="D288" s="2026"/>
      <c r="E288" s="2026"/>
      <c r="F288" s="1959"/>
      <c r="G288" s="1899"/>
      <c r="H288" s="1858"/>
      <c r="I288" s="766"/>
      <c r="J288"/>
      <c r="O288"/>
      <c r="P288"/>
      <c r="Q288"/>
    </row>
    <row r="289" spans="1:17" s="3" customFormat="1" ht="18">
      <c r="A289"/>
      <c r="B289" s="1318" t="s">
        <v>925</v>
      </c>
      <c r="C289" s="2026"/>
      <c r="D289" s="2026"/>
      <c r="E289" s="2026"/>
      <c r="F289" s="1959"/>
      <c r="G289" s="1899">
        <f>+GETPIVOTDATA("Sum of Dr. Final 22-23",Pivot!$A$3,"Note",7,"BS Main Head","Cash and cash Equivalents","BS Sub Head","Balance With Bank - Current A/c")/A1</f>
        <v>9.4596399999999997E-2</v>
      </c>
      <c r="H289" s="1858">
        <f>+GETPIVOTDATA("Sum of Dr. Final 21-22",Pivot!$A$3,"PARTICULARS","S.B.I. Indl.Fin.Br. Trustee HPML Empl.G.G.Scheme","Note",7,"BS Main Head","Cash and cash Equivalents","BS Sub Head","Balance With Bank - Current A/c")/A1</f>
        <v>0.10757639999999999</v>
      </c>
      <c r="I289" s="766"/>
      <c r="J289"/>
      <c r="O289"/>
      <c r="P289"/>
      <c r="Q289"/>
    </row>
    <row r="290" spans="1:17" s="3" customFormat="1" ht="18">
      <c r="A290"/>
      <c r="B290" s="1315"/>
      <c r="C290" s="73"/>
      <c r="D290" s="73"/>
      <c r="E290" s="73"/>
      <c r="F290" s="1959"/>
      <c r="G290" s="1869">
        <f>+SUM(G286:G289)</f>
        <v>2.3977564</v>
      </c>
      <c r="H290" s="1870">
        <f>+SUM(H286:H289)</f>
        <v>0.79146640000000001</v>
      </c>
      <c r="I290" s="766"/>
      <c r="J290"/>
      <c r="O290"/>
      <c r="P290"/>
      <c r="Q290"/>
    </row>
    <row r="291" spans="1:17" s="3" customFormat="1" ht="18">
      <c r="A291"/>
      <c r="B291" s="1229"/>
      <c r="C291" s="1999"/>
      <c r="D291" s="1999"/>
      <c r="E291" s="1999"/>
      <c r="F291" s="1999"/>
      <c r="G291" s="59"/>
      <c r="H291" s="1293"/>
      <c r="I291" s="766"/>
      <c r="J291"/>
      <c r="O291"/>
      <c r="P291"/>
      <c r="Q291"/>
    </row>
    <row r="292" spans="1:17" s="3" customFormat="1" ht="18">
      <c r="A292"/>
      <c r="B292" s="2219" t="s">
        <v>2391</v>
      </c>
      <c r="C292" s="2220"/>
      <c r="D292" s="2028"/>
      <c r="E292" s="2020"/>
      <c r="F292" s="1959"/>
      <c r="G292" s="71"/>
      <c r="H292" s="1293"/>
      <c r="I292" s="766"/>
      <c r="J292"/>
      <c r="O292"/>
      <c r="P292"/>
      <c r="Q292"/>
    </row>
    <row r="293" spans="1:17" s="3" customFormat="1" ht="18">
      <c r="A293"/>
      <c r="B293" s="2221" t="s">
        <v>926</v>
      </c>
      <c r="C293" s="2222"/>
      <c r="D293" s="2222"/>
      <c r="E293" s="2222"/>
      <c r="F293" s="2222"/>
      <c r="G293" s="79"/>
      <c r="H293" s="1323"/>
      <c r="I293" s="766"/>
      <c r="J293"/>
      <c r="O293"/>
      <c r="P293"/>
      <c r="Q293"/>
    </row>
    <row r="294" spans="1:17" s="3" customFormat="1" ht="18">
      <c r="A294"/>
      <c r="B294" s="1297" t="s">
        <v>927</v>
      </c>
      <c r="C294" s="31"/>
      <c r="D294" s="31"/>
      <c r="E294" s="31"/>
      <c r="F294" s="1959"/>
      <c r="G294" s="1899">
        <f>+GETPIVOTDATA("Sum of Dr. Final 22-23",Pivot!$A$3,"Note",9,"BS Main Head","Other Financial Assets","BS Sub Head","Loans and Advances to Employees")/A1</f>
        <v>3.44</v>
      </c>
      <c r="H294" s="1858">
        <f>+GETPIVOTDATA("Sum of Dr. Final 21-22",Pivot!$A$3,"Note",9,"BS Main Head","Other Financial Assets","BS Sub Head","Loans and Advances to Employees")/A1</f>
        <v>3.4550000000000001</v>
      </c>
      <c r="I294" s="766"/>
      <c r="J294"/>
      <c r="O294"/>
      <c r="P294"/>
      <c r="Q294"/>
    </row>
    <row r="295" spans="1:17" s="3" customFormat="1" ht="18">
      <c r="A295"/>
      <c r="B295" s="1297" t="s">
        <v>928</v>
      </c>
      <c r="C295" s="2029"/>
      <c r="D295" s="2029"/>
      <c r="E295" s="2029"/>
      <c r="F295" s="1959"/>
      <c r="G295" s="1899">
        <f>7083000/A1</f>
        <v>70.83</v>
      </c>
      <c r="H295" s="1858">
        <f>8017000/A1</f>
        <v>80.17</v>
      </c>
      <c r="I295" s="767"/>
      <c r="J295"/>
      <c r="K295" s="674"/>
      <c r="O295"/>
      <c r="P295"/>
      <c r="Q295"/>
    </row>
    <row r="296" spans="1:17" s="3" customFormat="1" ht="18">
      <c r="A296"/>
      <c r="B296" s="1285"/>
      <c r="C296" s="2027"/>
      <c r="D296" s="2027"/>
      <c r="E296" s="2027"/>
      <c r="F296" s="1958"/>
      <c r="G296" s="1869">
        <f>+SUM(G294:G295)</f>
        <v>74.27</v>
      </c>
      <c r="H296" s="1870">
        <f>+SUM(H294:H295)</f>
        <v>83.625</v>
      </c>
      <c r="I296" s="766"/>
      <c r="J296" s="136"/>
      <c r="O296"/>
      <c r="P296"/>
      <c r="Q296"/>
    </row>
    <row r="297" spans="1:17" s="3" customFormat="1" ht="18">
      <c r="A297"/>
      <c r="B297" s="1310" t="s">
        <v>2797</v>
      </c>
      <c r="C297" s="34"/>
      <c r="D297" s="34"/>
      <c r="E297" s="34"/>
      <c r="F297" s="1959"/>
      <c r="G297" s="71"/>
      <c r="H297" s="1293"/>
      <c r="I297" s="766"/>
      <c r="J297"/>
      <c r="O297"/>
      <c r="P297"/>
      <c r="Q297"/>
    </row>
    <row r="298" spans="1:17" s="3" customFormat="1" ht="18">
      <c r="A298"/>
      <c r="B298" s="1297" t="s">
        <v>929</v>
      </c>
      <c r="C298" s="31"/>
      <c r="D298" s="31"/>
      <c r="E298" s="31"/>
      <c r="F298" s="1959"/>
      <c r="G298" s="1899">
        <f>+GETPIVOTDATA("Sum of Dr. Final 22-23",Pivot!$A$3,"Note",10,"BS Main Head","Other Current Assets","BS Sub Head","Advance to Suppliers")/A1</f>
        <v>84.220740000000006</v>
      </c>
      <c r="H298" s="1858">
        <f>+GETPIVOTDATA("Sum of Dr. Final 21-22",Pivot!$A$3,"Note",10,"BS Main Head","Other Current Assets","BS Sub Head","Advance to Suppliers")/A1</f>
        <v>43.768450199999997</v>
      </c>
      <c r="I298" s="767"/>
      <c r="J298"/>
      <c r="O298"/>
      <c r="P298"/>
      <c r="Q298"/>
    </row>
    <row r="299" spans="1:17" s="3" customFormat="1" ht="18">
      <c r="A299"/>
      <c r="B299" s="1297" t="s">
        <v>221</v>
      </c>
      <c r="C299" s="68"/>
      <c r="D299" s="68"/>
      <c r="E299" s="68"/>
      <c r="F299" s="1959"/>
      <c r="G299" s="1899">
        <f>+GETPIVOTDATA("Sum of Dr. Final 22-23",Pivot!$A$3,"Note",10,"BS Main Head","Other Current Assets","BS Sub Head","Prepaid Expenses")/A1</f>
        <v>12.16935</v>
      </c>
      <c r="H299" s="1858">
        <f>+GETPIVOTDATA("Sum of Dr. Final 21-22",Pivot!$A$3,"Note",10,"BS Main Head","Other Current Assets","BS Sub Head","Prepaid Expenses")/A1</f>
        <v>10.988440000000001</v>
      </c>
      <c r="I299" s="766"/>
      <c r="J299" s="766"/>
      <c r="O299"/>
      <c r="P299"/>
      <c r="Q299"/>
    </row>
    <row r="300" spans="1:17" s="3" customFormat="1" ht="18">
      <c r="A300"/>
      <c r="B300" s="1297" t="s">
        <v>930</v>
      </c>
      <c r="C300" s="68"/>
      <c r="D300" s="68"/>
      <c r="E300" s="68"/>
      <c r="F300" s="1959"/>
      <c r="G300" s="1899">
        <f>+GETPIVOTDATA("Sum of Dr. Final 22-23",Pivot!$A$3,"Note",10,"BS Main Head","Other Current Assets","BS Sub Head","Insurance claim Receivable")/A1</f>
        <v>1.7619100000000001</v>
      </c>
      <c r="H300" s="1858">
        <f>+GETPIVOTDATA("Sum of Dr. Final 21-22",Pivot!$A$3,"Note",10,"BS Main Head","Other Current Assets","BS Sub Head","Insurance claim Receivable")/A1</f>
        <v>3.6678600000000001</v>
      </c>
      <c r="I300" s="766"/>
      <c r="J300"/>
      <c r="O300"/>
      <c r="P300"/>
      <c r="Q300"/>
    </row>
    <row r="301" spans="1:17" s="3" customFormat="1" ht="18">
      <c r="A301"/>
      <c r="B301" s="1297" t="s">
        <v>468</v>
      </c>
      <c r="C301" s="68"/>
      <c r="D301" s="68"/>
      <c r="E301" s="68"/>
      <c r="F301" s="1959"/>
      <c r="G301" s="1899">
        <f>+GETPIVOTDATA("Sum of Dr. Final 22-23",Pivot!$A$3,"Note",10,"BS Main Head","Other Current Assets","BS Sub Head","Import Claim Receivable")/A1</f>
        <v>2.21984</v>
      </c>
      <c r="H301" s="1858">
        <f>+GETPIVOTDATA("Sum of Dr. Final 21-22",Pivot!$A$3,"Note",10,"BS Main Head","Other Current Assets","BS Sub Head","Import Claim Receivable")/A1</f>
        <v>4.1326200000000002</v>
      </c>
      <c r="I301" s="766"/>
      <c r="J301" s="503"/>
      <c r="O301"/>
      <c r="P301"/>
      <c r="Q301"/>
    </row>
    <row r="302" spans="1:17" s="3" customFormat="1" ht="18">
      <c r="A302"/>
      <c r="B302" s="1285"/>
      <c r="C302" s="68"/>
      <c r="D302" s="68"/>
      <c r="E302" s="68"/>
      <c r="F302" s="1958"/>
      <c r="G302" s="1869">
        <f>+SUM(G298:G301)</f>
        <v>100.37184000000001</v>
      </c>
      <c r="H302" s="1870">
        <f>+SUM(H298:H301)</f>
        <v>62.557370200000001</v>
      </c>
      <c r="I302" s="766"/>
      <c r="J302"/>
      <c r="O302"/>
      <c r="P302"/>
      <c r="Q302"/>
    </row>
    <row r="303" spans="1:17" s="3" customFormat="1" ht="18">
      <c r="A303"/>
      <c r="B303" s="1310" t="s">
        <v>2798</v>
      </c>
      <c r="C303" s="68"/>
      <c r="D303" s="68"/>
      <c r="E303" s="68"/>
      <c r="F303" s="1958"/>
      <c r="G303" s="80"/>
      <c r="H303" s="1324"/>
      <c r="I303" s="766"/>
      <c r="J303"/>
      <c r="O303"/>
      <c r="P303"/>
      <c r="Q303"/>
    </row>
    <row r="304" spans="1:17" s="3" customFormat="1" ht="18">
      <c r="A304"/>
      <c r="B304" s="1297" t="s">
        <v>931</v>
      </c>
      <c r="C304" s="34"/>
      <c r="D304" s="34"/>
      <c r="E304" s="34"/>
      <c r="F304" s="1959"/>
      <c r="G304" s="1899">
        <f>+GETPIVOTDATA("Sum of Dr. Final 22-23",Pivot!$A$3,"Note",11,"BS Main Head","Current Tax Assets","BS Sub Head","Advance Income Tax")/A1</f>
        <v>35.504003599999997</v>
      </c>
      <c r="H304" s="1858">
        <f>2322957.8136878/A1</f>
        <v>23.229578136878001</v>
      </c>
      <c r="I304" s="766"/>
      <c r="J304"/>
      <c r="O304"/>
      <c r="P304"/>
      <c r="Q304"/>
    </row>
    <row r="305" spans="1:17" s="3" customFormat="1" ht="18">
      <c r="A305"/>
      <c r="B305" s="1285"/>
      <c r="C305" s="68"/>
      <c r="D305" s="68"/>
      <c r="E305" s="68"/>
      <c r="F305" s="1958"/>
      <c r="G305" s="1869">
        <f>+G304</f>
        <v>35.504003599999997</v>
      </c>
      <c r="H305" s="1870">
        <f>+H304</f>
        <v>23.229578136878001</v>
      </c>
      <c r="I305" s="766"/>
      <c r="J305"/>
      <c r="O305"/>
      <c r="P305"/>
      <c r="Q305"/>
    </row>
    <row r="306" spans="1:17" s="3" customFormat="1" ht="15" hidden="1" thickTop="1">
      <c r="A306"/>
      <c r="B306" s="1049"/>
      <c r="C306"/>
      <c r="D306"/>
      <c r="E306"/>
      <c r="F306"/>
      <c r="G306"/>
      <c r="H306" s="1050"/>
      <c r="I306" s="766"/>
      <c r="J306"/>
      <c r="O306"/>
      <c r="P306"/>
      <c r="Q306"/>
    </row>
    <row r="307" spans="1:17" s="3" customFormat="1" ht="15" hidden="1" thickTop="1">
      <c r="A307"/>
      <c r="B307" s="1049"/>
      <c r="C307"/>
      <c r="D307"/>
      <c r="E307"/>
      <c r="F307"/>
      <c r="G307"/>
      <c r="H307" s="1050"/>
      <c r="I307" s="766"/>
      <c r="J307"/>
      <c r="O307"/>
      <c r="P307"/>
      <c r="Q307"/>
    </row>
    <row r="308" spans="1:17" s="3" customFormat="1" ht="18.600000000000001" hidden="1" thickTop="1">
      <c r="A308"/>
      <c r="B308" s="1287" t="s">
        <v>0</v>
      </c>
      <c r="C308" s="1288"/>
      <c r="D308" s="1288"/>
      <c r="E308" s="1288"/>
      <c r="F308" s="1289"/>
      <c r="G308" s="1237" t="s">
        <v>788</v>
      </c>
      <c r="H308" s="1238" t="s">
        <v>788</v>
      </c>
      <c r="I308" s="766"/>
      <c r="J308"/>
      <c r="O308"/>
      <c r="P308"/>
      <c r="Q308"/>
    </row>
    <row r="309" spans="1:17" s="3" customFormat="1" ht="18.600000000000001" hidden="1" thickTop="1">
      <c r="A309"/>
      <c r="B309" s="1269"/>
      <c r="C309" s="55"/>
      <c r="D309" s="55"/>
      <c r="E309" s="55"/>
      <c r="F309" s="56"/>
      <c r="G309" s="41" t="str">
        <f>+G6</f>
        <v>March 31, 2023 (₹)</v>
      </c>
      <c r="H309" s="1272" t="str">
        <f>+H6</f>
        <v>March 31, 2022 (₹)</v>
      </c>
      <c r="I309" s="766"/>
      <c r="J309"/>
      <c r="O309"/>
      <c r="P309"/>
      <c r="Q309"/>
    </row>
    <row r="310" spans="1:17" s="3" customFormat="1" ht="18.600000000000001" hidden="1" thickTop="1">
      <c r="A310"/>
      <c r="B310" s="1297"/>
      <c r="C310" s="34"/>
      <c r="D310" s="34"/>
      <c r="E310" s="34"/>
      <c r="F310" s="1958"/>
      <c r="G310" s="67"/>
      <c r="H310" s="1309"/>
      <c r="I310" s="766"/>
      <c r="J310"/>
      <c r="O310"/>
      <c r="P310"/>
      <c r="Q310"/>
    </row>
    <row r="311" spans="1:17" s="3" customFormat="1" ht="18">
      <c r="A311"/>
      <c r="B311" s="1310" t="s">
        <v>2799</v>
      </c>
      <c r="C311" s="68"/>
      <c r="D311" s="68"/>
      <c r="E311" s="68"/>
      <c r="F311" s="1958"/>
      <c r="G311" s="81"/>
      <c r="H311" s="1324"/>
      <c r="I311" s="766"/>
      <c r="J311"/>
      <c r="O311"/>
      <c r="P311"/>
      <c r="Q311"/>
    </row>
    <row r="312" spans="1:17" s="3" customFormat="1" ht="18">
      <c r="A312"/>
      <c r="B312" s="1315"/>
      <c r="C312" s="73"/>
      <c r="D312" s="73"/>
      <c r="E312" s="73"/>
      <c r="F312" s="1959"/>
      <c r="G312" s="59"/>
      <c r="H312" s="1293"/>
      <c r="I312" s="766"/>
      <c r="J312"/>
      <c r="O312"/>
      <c r="P312"/>
      <c r="Q312"/>
    </row>
    <row r="313" spans="1:17" s="3" customFormat="1" ht="18">
      <c r="A313"/>
      <c r="B313" s="1325" t="s">
        <v>932</v>
      </c>
      <c r="C313" s="83"/>
      <c r="D313" s="83"/>
      <c r="E313" s="83"/>
      <c r="F313" s="1959"/>
      <c r="G313" s="59"/>
      <c r="H313" s="1293"/>
      <c r="I313" s="766"/>
      <c r="J313"/>
      <c r="O313"/>
      <c r="P313"/>
      <c r="Q313"/>
    </row>
    <row r="314" spans="1:17" s="3" customFormat="1" ht="18">
      <c r="A314"/>
      <c r="B314" s="1326" t="s">
        <v>933</v>
      </c>
      <c r="C314" s="2030"/>
      <c r="D314" s="2030"/>
      <c r="E314" s="2030"/>
      <c r="F314" s="2031"/>
      <c r="G314" s="1867">
        <f>35000000/A1</f>
        <v>350</v>
      </c>
      <c r="H314" s="1868">
        <f>35000000/A1</f>
        <v>350</v>
      </c>
      <c r="I314" s="766"/>
      <c r="J314"/>
      <c r="O314"/>
      <c r="P314"/>
      <c r="Q314"/>
    </row>
    <row r="315" spans="1:17" s="3" customFormat="1" ht="18">
      <c r="A315"/>
      <c r="B315" s="1326"/>
      <c r="C315" s="2030"/>
      <c r="D315" s="2030"/>
      <c r="E315" s="2030"/>
      <c r="F315" s="1959"/>
      <c r="G315" s="1889">
        <f>35000000/A1</f>
        <v>350</v>
      </c>
      <c r="H315" s="1890">
        <f>35000000/A1</f>
        <v>350</v>
      </c>
      <c r="I315" s="766"/>
      <c r="J315"/>
      <c r="O315"/>
      <c r="P315"/>
      <c r="Q315"/>
    </row>
    <row r="316" spans="1:17" s="3" customFormat="1" ht="18">
      <c r="A316"/>
      <c r="B316" s="1329" t="s">
        <v>934</v>
      </c>
      <c r="C316" s="2032"/>
      <c r="D316" s="2032"/>
      <c r="E316" s="2032"/>
      <c r="F316" s="1959"/>
      <c r="G316" s="59"/>
      <c r="H316" s="1293"/>
      <c r="I316" s="766"/>
      <c r="J316"/>
      <c r="O316"/>
      <c r="P316"/>
      <c r="Q316"/>
    </row>
    <row r="317" spans="1:17" ht="18">
      <c r="B317" s="2113" t="s">
        <v>935</v>
      </c>
      <c r="C317" s="2114"/>
      <c r="D317" s="2114"/>
      <c r="E317" s="2114"/>
      <c r="F317" s="2114"/>
      <c r="G317" s="1857">
        <f>26922650/A1</f>
        <v>269.22649999999999</v>
      </c>
      <c r="H317" s="1858">
        <f>26922650/A1</f>
        <v>269.22649999999999</v>
      </c>
    </row>
    <row r="318" spans="1:17" ht="18">
      <c r="B318" s="2113"/>
      <c r="C318" s="2114"/>
      <c r="D318" s="2114"/>
      <c r="E318" s="2114"/>
      <c r="F318" s="2114"/>
      <c r="G318" s="1897"/>
      <c r="H318" s="1898"/>
    </row>
    <row r="319" spans="1:17" ht="18">
      <c r="B319" s="1315"/>
      <c r="C319" s="73"/>
      <c r="D319" s="73"/>
      <c r="E319" s="73"/>
      <c r="F319" s="1959"/>
      <c r="G319" s="1869">
        <f>SUM(G317:G318)</f>
        <v>269.22649999999999</v>
      </c>
      <c r="H319" s="1870">
        <f>SUM(H317:H318)</f>
        <v>269.22649999999999</v>
      </c>
    </row>
    <row r="320" spans="1:17" ht="18">
      <c r="B320" s="1331" t="s">
        <v>936</v>
      </c>
      <c r="C320" s="2030"/>
      <c r="D320" s="2030"/>
      <c r="E320" s="2030"/>
      <c r="F320" s="1959"/>
      <c r="G320" s="59"/>
      <c r="H320" s="1293"/>
    </row>
    <row r="321" spans="2:17" ht="18">
      <c r="B321" s="2253" t="s">
        <v>937</v>
      </c>
      <c r="C321" s="2254"/>
      <c r="D321" s="1731"/>
      <c r="E321" s="1332">
        <v>45016</v>
      </c>
      <c r="F321" s="1332">
        <v>44651</v>
      </c>
      <c r="G321" s="1073">
        <v>45016</v>
      </c>
      <c r="H321" s="2082">
        <v>44651</v>
      </c>
    </row>
    <row r="322" spans="2:17" ht="18">
      <c r="B322" s="2255"/>
      <c r="C322" s="2256"/>
      <c r="D322" s="1732"/>
      <c r="E322" s="1070" t="s">
        <v>940</v>
      </c>
      <c r="F322" s="1070" t="s">
        <v>940</v>
      </c>
      <c r="G322" s="1074" t="s">
        <v>941</v>
      </c>
      <c r="H322" s="2083" t="s">
        <v>941</v>
      </c>
      <c r="M322" s="2223" t="s">
        <v>937</v>
      </c>
      <c r="N322" s="2224"/>
      <c r="O322" s="137" t="s">
        <v>938</v>
      </c>
      <c r="P322" s="137" t="s">
        <v>939</v>
      </c>
      <c r="Q322" s="138"/>
    </row>
    <row r="323" spans="2:17" ht="18">
      <c r="B323" s="1335" t="s">
        <v>2240</v>
      </c>
      <c r="C323" s="97"/>
      <c r="D323" s="97"/>
      <c r="E323" s="1071">
        <v>0.12516709907828538</v>
      </c>
      <c r="F323" s="1071">
        <v>6.2199999999999998E-2</v>
      </c>
      <c r="G323" s="59">
        <f>+BSPL!G311</f>
        <v>337058</v>
      </c>
      <c r="H323" s="59">
        <f>+BSPL!H311</f>
        <v>167480</v>
      </c>
      <c r="M323" s="2225"/>
      <c r="N323" s="2226"/>
      <c r="O323" s="139" t="s">
        <v>940</v>
      </c>
      <c r="P323" s="139" t="s">
        <v>940</v>
      </c>
      <c r="Q323" s="140" t="s">
        <v>941</v>
      </c>
    </row>
    <row r="324" spans="2:17" ht="18">
      <c r="B324" s="1335" t="s">
        <v>942</v>
      </c>
      <c r="C324" s="97"/>
      <c r="D324" s="97"/>
      <c r="E324" s="1071">
        <v>9.9306717577950163E-2</v>
      </c>
      <c r="F324" s="1071">
        <v>9.9299999999999999E-2</v>
      </c>
      <c r="G324" s="59">
        <f>+BSPL!G312</f>
        <v>267360</v>
      </c>
      <c r="H324" s="59">
        <f>+BSPL!H312</f>
        <v>267360</v>
      </c>
      <c r="M324" s="2227" t="s">
        <v>942</v>
      </c>
      <c r="N324" s="2228"/>
      <c r="O324" s="141">
        <v>9.9306717577950163</v>
      </c>
      <c r="P324" s="141">
        <v>9.9306717577950163</v>
      </c>
      <c r="Q324" s="142">
        <v>267360</v>
      </c>
    </row>
    <row r="325" spans="2:17" ht="18">
      <c r="B325" s="1335" t="s">
        <v>943</v>
      </c>
      <c r="C325" s="97"/>
      <c r="D325" s="97"/>
      <c r="E325" s="1071">
        <v>8.9885282466621974E-2</v>
      </c>
      <c r="F325" s="1071">
        <v>8.9899999999999994E-2</v>
      </c>
      <c r="G325" s="59">
        <f>+BSPL!G313</f>
        <v>241995</v>
      </c>
      <c r="H325" s="59">
        <f>+BSPL!H313</f>
        <v>241995</v>
      </c>
      <c r="M325" s="2227" t="s">
        <v>943</v>
      </c>
      <c r="N325" s="2228"/>
      <c r="O325" s="141">
        <v>8.9884000000000004</v>
      </c>
      <c r="P325" s="141">
        <v>8.9884000000000004</v>
      </c>
      <c r="Q325" s="143">
        <v>241995</v>
      </c>
    </row>
    <row r="326" spans="2:17" ht="18">
      <c r="B326" s="1335" t="s">
        <v>944</v>
      </c>
      <c r="C326" s="97"/>
      <c r="D326" s="97"/>
      <c r="E326" s="1071">
        <v>8.3537467522699291E-2</v>
      </c>
      <c r="F326" s="1071">
        <v>8.3500000000000005E-2</v>
      </c>
      <c r="G326" s="59">
        <f>+BSPL!G314</f>
        <v>228405</v>
      </c>
      <c r="H326" s="59">
        <f>+BSPL!H314</f>
        <v>228405</v>
      </c>
      <c r="M326" s="2227" t="s">
        <v>944</v>
      </c>
      <c r="N326" s="2228"/>
      <c r="O326" s="141">
        <v>8.4837488137311894</v>
      </c>
      <c r="P326" s="141">
        <v>8.4837488137311894</v>
      </c>
      <c r="Q326" s="142">
        <v>228405</v>
      </c>
    </row>
    <row r="327" spans="2:17" ht="18">
      <c r="B327" s="1335" t="s">
        <v>945</v>
      </c>
      <c r="C327" s="97"/>
      <c r="D327" s="97"/>
      <c r="E327" s="1071">
        <v>6.9196382971215692E-2</v>
      </c>
      <c r="F327" s="1071">
        <v>6.9199999999999998E-2</v>
      </c>
      <c r="G327" s="59">
        <f>+BSPL!G315</f>
        <v>186295</v>
      </c>
      <c r="H327" s="59">
        <f>+BSPL!H315</f>
        <v>186295</v>
      </c>
      <c r="M327" s="2227" t="s">
        <v>945</v>
      </c>
      <c r="N327" s="2228"/>
      <c r="O327" s="141">
        <v>6.9196382971215691</v>
      </c>
      <c r="P327" s="141">
        <v>6.9196382971215691</v>
      </c>
      <c r="Q327" s="142">
        <v>186295</v>
      </c>
    </row>
    <row r="328" spans="2:17" ht="18">
      <c r="B328" s="1335" t="s">
        <v>946</v>
      </c>
      <c r="C328" s="97"/>
      <c r="D328" s="97"/>
      <c r="E328" s="1071">
        <v>5.6066174763628393E-2</v>
      </c>
      <c r="F328" s="1071">
        <v>5.6099999999999997E-2</v>
      </c>
      <c r="G328" s="59">
        <f>+BSPL!G316</f>
        <v>150945</v>
      </c>
      <c r="H328" s="59">
        <f>+BSPL!H316</f>
        <v>150945</v>
      </c>
      <c r="M328" s="2227" t="s">
        <v>946</v>
      </c>
      <c r="N328" s="2228"/>
      <c r="O328" s="141">
        <v>5.6066174763628389</v>
      </c>
      <c r="P328" s="141">
        <v>5.6066174763628389</v>
      </c>
      <c r="Q328" s="142">
        <v>150945</v>
      </c>
    </row>
    <row r="329" spans="2:17" ht="18">
      <c r="B329" s="1336" t="s">
        <v>2392</v>
      </c>
      <c r="C329" s="38"/>
      <c r="D329" s="38"/>
      <c r="E329" s="1072">
        <v>0</v>
      </c>
      <c r="F329" s="1072">
        <v>5.0900000000000001E-2</v>
      </c>
      <c r="G329" s="78">
        <f>+BSPL!G317</f>
        <v>0</v>
      </c>
      <c r="H329" s="78">
        <f>+BSPL!H317</f>
        <v>137078</v>
      </c>
      <c r="M329" s="2209" t="s">
        <v>947</v>
      </c>
      <c r="N329" s="2210"/>
      <c r="O329" s="144">
        <v>5.09</v>
      </c>
      <c r="P329" s="144">
        <v>5.09</v>
      </c>
      <c r="Q329" s="145">
        <v>137078</v>
      </c>
    </row>
    <row r="330" spans="2:17" ht="18">
      <c r="B330" s="1315"/>
      <c r="C330" s="1959"/>
      <c r="D330" s="1959"/>
      <c r="E330" s="1959"/>
      <c r="F330" s="1959"/>
      <c r="G330" s="59"/>
      <c r="H330" s="1293"/>
    </row>
    <row r="331" spans="2:17" ht="18">
      <c r="B331" s="2240" t="s">
        <v>948</v>
      </c>
      <c r="C331" s="2241"/>
      <c r="D331" s="2241"/>
      <c r="E331" s="2241"/>
      <c r="F331" s="2241"/>
      <c r="G331" s="86"/>
      <c r="H331" s="1338"/>
    </row>
    <row r="332" spans="2:17" ht="18">
      <c r="B332" s="1818" t="s">
        <v>0</v>
      </c>
      <c r="C332" s="1769"/>
      <c r="D332" s="1769"/>
      <c r="E332" s="1769"/>
      <c r="F332" s="1769"/>
      <c r="G332" s="1770" t="s">
        <v>941</v>
      </c>
      <c r="H332" s="1819" t="s">
        <v>941</v>
      </c>
    </row>
    <row r="333" spans="2:17" ht="18">
      <c r="B333" s="1297" t="s">
        <v>949</v>
      </c>
      <c r="C333" s="1959"/>
      <c r="D333" s="1959"/>
      <c r="E333" s="1959"/>
      <c r="F333" s="1959"/>
      <c r="G333" s="59">
        <f>2692265</f>
        <v>2692265</v>
      </c>
      <c r="H333" s="1293">
        <f>2692265</f>
        <v>2692265</v>
      </c>
      <c r="I333" s="1602"/>
    </row>
    <row r="334" spans="2:17" ht="18">
      <c r="B334" s="1297" t="s">
        <v>950</v>
      </c>
      <c r="C334" s="1959"/>
      <c r="D334" s="1959"/>
      <c r="E334" s="1959"/>
      <c r="F334" s="1959"/>
      <c r="G334" s="84">
        <v>0</v>
      </c>
      <c r="H334" s="1327">
        <v>0</v>
      </c>
    </row>
    <row r="335" spans="2:17" ht="18">
      <c r="B335" s="1269" t="s">
        <v>951</v>
      </c>
      <c r="C335" s="38"/>
      <c r="D335" s="38"/>
      <c r="E335" s="38"/>
      <c r="F335" s="38"/>
      <c r="G335" s="1548">
        <f>SUM(G333:G334)</f>
        <v>2692265</v>
      </c>
      <c r="H335" s="1791">
        <f>SUM(H333:H334)</f>
        <v>2692265</v>
      </c>
    </row>
    <row r="336" spans="2:17" ht="18">
      <c r="B336" s="1339"/>
      <c r="C336" s="1340"/>
      <c r="D336" s="1340"/>
      <c r="E336" s="1340"/>
      <c r="F336" s="1340"/>
      <c r="G336" s="1341"/>
      <c r="H336" s="1342"/>
    </row>
    <row r="337" spans="2:10" ht="18">
      <c r="B337" s="2242" t="s">
        <v>2775</v>
      </c>
      <c r="C337" s="2243"/>
      <c r="D337" s="2243"/>
      <c r="E337" s="2243"/>
      <c r="F337" s="2243"/>
      <c r="G337" s="2243"/>
      <c r="H337" s="2244"/>
    </row>
    <row r="338" spans="2:10" ht="18">
      <c r="B338" s="1343"/>
      <c r="C338" s="87"/>
      <c r="D338" s="87"/>
      <c r="E338" s="87"/>
      <c r="F338" s="87"/>
      <c r="G338" s="88"/>
      <c r="H338" s="1344"/>
    </row>
    <row r="339" spans="2:10" ht="18">
      <c r="B339" s="2245" t="s">
        <v>952</v>
      </c>
      <c r="C339" s="2246"/>
      <c r="D339" s="2246"/>
      <c r="E339" s="2246"/>
      <c r="F339" s="2246"/>
      <c r="G339" s="89"/>
      <c r="H339" s="1345"/>
    </row>
    <row r="340" spans="2:10" ht="18">
      <c r="B340" s="1346" t="s">
        <v>953</v>
      </c>
      <c r="C340" s="1959"/>
      <c r="D340" s="1959"/>
      <c r="E340" s="1959"/>
      <c r="F340" s="1959"/>
      <c r="G340" s="31"/>
      <c r="H340" s="1265"/>
    </row>
    <row r="341" spans="2:10">
      <c r="B341" s="2247" t="s">
        <v>954</v>
      </c>
      <c r="C341" s="2248"/>
      <c r="D341" s="2248"/>
      <c r="E341" s="2248"/>
      <c r="F341" s="2248"/>
      <c r="G341" s="2248"/>
      <c r="H341" s="2249"/>
    </row>
    <row r="342" spans="2:10">
      <c r="B342" s="2247"/>
      <c r="C342" s="2248"/>
      <c r="D342" s="2248"/>
      <c r="E342" s="2248"/>
      <c r="F342" s="2248"/>
      <c r="G342" s="2248"/>
      <c r="H342" s="2249"/>
    </row>
    <row r="343" spans="2:10">
      <c r="B343" s="2247"/>
      <c r="C343" s="2248"/>
      <c r="D343" s="2248"/>
      <c r="E343" s="2248"/>
      <c r="F343" s="2248"/>
      <c r="G343" s="2248"/>
      <c r="H343" s="2249"/>
    </row>
    <row r="344" spans="2:10" ht="30.75" customHeight="1" thickBot="1">
      <c r="B344" s="2250"/>
      <c r="C344" s="2251"/>
      <c r="D344" s="2251"/>
      <c r="E344" s="2251"/>
      <c r="F344" s="2251"/>
      <c r="G344" s="2251"/>
      <c r="H344" s="2252"/>
    </row>
    <row r="345" spans="2:10" ht="18">
      <c r="B345" s="2102" t="s">
        <v>785</v>
      </c>
      <c r="C345" s="2103"/>
      <c r="D345" s="2103"/>
      <c r="E345" s="2103"/>
      <c r="F345" s="2103"/>
      <c r="G345" s="2103"/>
      <c r="H345" s="2104"/>
    </row>
    <row r="346" spans="2:10" ht="18">
      <c r="B346" s="2124" t="s">
        <v>2241</v>
      </c>
      <c r="C346" s="2125"/>
      <c r="D346" s="2125"/>
      <c r="E346" s="2125"/>
      <c r="F346" s="2125"/>
      <c r="G346" s="2125"/>
      <c r="H346" s="2126"/>
    </row>
    <row r="347" spans="2:10" ht="18">
      <c r="B347" s="1347"/>
      <c r="C347" s="90"/>
      <c r="D347" s="90"/>
      <c r="E347" s="90"/>
      <c r="F347" s="90"/>
      <c r="G347" s="66"/>
      <c r="H347" s="1308"/>
    </row>
    <row r="348" spans="2:10" ht="18">
      <c r="B348" s="1348" t="s">
        <v>955</v>
      </c>
      <c r="C348" s="34"/>
      <c r="D348" s="34"/>
      <c r="E348" s="34"/>
      <c r="F348" s="1958"/>
      <c r="G348" s="36"/>
      <c r="H348" s="1267"/>
    </row>
    <row r="349" spans="2:10" ht="18">
      <c r="B349" s="1349" t="s">
        <v>956</v>
      </c>
      <c r="C349" s="55"/>
      <c r="D349" s="55"/>
      <c r="E349" s="55"/>
      <c r="F349" s="56"/>
      <c r="G349" s="91"/>
      <c r="H349" s="1350"/>
    </row>
    <row r="350" spans="2:10" ht="54">
      <c r="B350" s="1820" t="s">
        <v>2239</v>
      </c>
      <c r="C350" s="2183" t="s">
        <v>957</v>
      </c>
      <c r="D350" s="2183"/>
      <c r="E350" s="1552" t="s">
        <v>958</v>
      </c>
      <c r="F350" s="1553" t="s">
        <v>959</v>
      </c>
      <c r="G350" s="1554" t="s">
        <v>960</v>
      </c>
      <c r="H350" s="1811" t="s">
        <v>960</v>
      </c>
      <c r="J350">
        <f>126990*2</f>
        <v>253980</v>
      </c>
    </row>
    <row r="351" spans="2:10" ht="18">
      <c r="B351" s="1821" t="s">
        <v>961</v>
      </c>
      <c r="C351" s="2182">
        <f>267360</f>
        <v>267360</v>
      </c>
      <c r="D351" s="2182"/>
      <c r="E351" s="1933">
        <v>0</v>
      </c>
      <c r="F351" s="1814">
        <f>+C351+E351</f>
        <v>267360</v>
      </c>
      <c r="G351" s="1556">
        <f>+F351/$G$333</f>
        <v>9.9306717577950163E-2</v>
      </c>
      <c r="H351" s="1822">
        <f>+G351</f>
        <v>9.9306717577950163E-2</v>
      </c>
    </row>
    <row r="352" spans="2:10" ht="18">
      <c r="B352" s="1821" t="s">
        <v>962</v>
      </c>
      <c r="C352" s="2182">
        <f>241995</f>
        <v>241995</v>
      </c>
      <c r="D352" s="2182"/>
      <c r="E352" s="1933">
        <v>0</v>
      </c>
      <c r="F352" s="1814">
        <f t="shared" ref="F352:F357" si="2">+C352+E352</f>
        <v>241995</v>
      </c>
      <c r="G352" s="1556">
        <f t="shared" ref="G352:G357" si="3">+F352/$G$333</f>
        <v>8.9885282466621974E-2</v>
      </c>
      <c r="H352" s="1822">
        <f t="shared" ref="H352:H357" si="4">+G352</f>
        <v>8.9885282466621974E-2</v>
      </c>
    </row>
    <row r="353" spans="2:14" ht="18">
      <c r="B353" s="1821" t="s">
        <v>963</v>
      </c>
      <c r="C353" s="2182">
        <f>186295</f>
        <v>186295</v>
      </c>
      <c r="D353" s="2182"/>
      <c r="E353" s="1933">
        <v>0</v>
      </c>
      <c r="F353" s="1814">
        <f t="shared" si="2"/>
        <v>186295</v>
      </c>
      <c r="G353" s="1556">
        <f t="shared" si="3"/>
        <v>6.9196382971215692E-2</v>
      </c>
      <c r="H353" s="1822">
        <f t="shared" si="4"/>
        <v>6.9196382971215692E-2</v>
      </c>
    </row>
    <row r="354" spans="2:14" ht="18">
      <c r="B354" s="1821" t="s">
        <v>964</v>
      </c>
      <c r="C354" s="2182">
        <f>113805</f>
        <v>113805</v>
      </c>
      <c r="D354" s="2182"/>
      <c r="E354" s="1933">
        <v>0</v>
      </c>
      <c r="F354" s="1814">
        <f t="shared" si="2"/>
        <v>113805</v>
      </c>
      <c r="G354" s="1556">
        <f t="shared" si="3"/>
        <v>4.2271098870282083E-2</v>
      </c>
      <c r="H354" s="1822">
        <f t="shared" si="4"/>
        <v>4.2271098870282083E-2</v>
      </c>
    </row>
    <row r="355" spans="2:14" ht="18">
      <c r="B355" s="1821" t="s">
        <v>965</v>
      </c>
      <c r="C355" s="2182">
        <f>39520</f>
        <v>39520</v>
      </c>
      <c r="D355" s="2182"/>
      <c r="E355" s="1933">
        <v>0</v>
      </c>
      <c r="F355" s="1814">
        <f t="shared" si="2"/>
        <v>39520</v>
      </c>
      <c r="G355" s="1556">
        <f t="shared" si="3"/>
        <v>1.4679089911282878E-2</v>
      </c>
      <c r="H355" s="1822">
        <f t="shared" si="4"/>
        <v>1.4679089911282878E-2</v>
      </c>
      <c r="K355" s="504"/>
      <c r="L355" s="504"/>
      <c r="M355" s="504"/>
      <c r="N355" s="504"/>
    </row>
    <row r="356" spans="2:14" ht="18">
      <c r="B356" s="1821" t="s">
        <v>966</v>
      </c>
      <c r="C356" s="2182">
        <f>3600</f>
        <v>3600</v>
      </c>
      <c r="D356" s="2182"/>
      <c r="E356" s="1933">
        <v>0</v>
      </c>
      <c r="F356" s="1814">
        <f t="shared" si="2"/>
        <v>3600</v>
      </c>
      <c r="G356" s="1556">
        <f t="shared" si="3"/>
        <v>1.3371640607443918E-3</v>
      </c>
      <c r="H356" s="1822">
        <f t="shared" si="4"/>
        <v>1.3371640607443918E-3</v>
      </c>
    </row>
    <row r="357" spans="2:14" ht="18">
      <c r="B357" s="1821" t="s">
        <v>967</v>
      </c>
      <c r="C357" s="2182">
        <f>100</f>
        <v>100</v>
      </c>
      <c r="D357" s="2182"/>
      <c r="E357" s="1933">
        <v>0</v>
      </c>
      <c r="F357" s="1814">
        <f t="shared" si="2"/>
        <v>100</v>
      </c>
      <c r="G357" s="1557">
        <f t="shared" si="3"/>
        <v>3.7143446131788664E-5</v>
      </c>
      <c r="H357" s="1823">
        <f t="shared" si="4"/>
        <v>3.7143446131788664E-5</v>
      </c>
    </row>
    <row r="358" spans="2:14" ht="18">
      <c r="B358" s="1297"/>
      <c r="C358" s="34"/>
      <c r="D358" s="34"/>
      <c r="E358" s="34"/>
      <c r="F358" s="1958"/>
      <c r="G358" s="81"/>
      <c r="H358" s="1324"/>
    </row>
    <row r="359" spans="2:14" ht="18">
      <c r="B359" s="1283" t="s">
        <v>968</v>
      </c>
      <c r="C359" s="34"/>
      <c r="D359" s="34"/>
      <c r="E359" s="34"/>
      <c r="F359" s="1958"/>
      <c r="G359" s="81"/>
      <c r="H359" s="1324"/>
    </row>
    <row r="360" spans="2:14" ht="54">
      <c r="B360" s="1820" t="s">
        <v>2239</v>
      </c>
      <c r="C360" s="2183" t="s">
        <v>957</v>
      </c>
      <c r="D360" s="2183"/>
      <c r="E360" s="1552" t="s">
        <v>958</v>
      </c>
      <c r="F360" s="1553" t="s">
        <v>959</v>
      </c>
      <c r="G360" s="1554" t="s">
        <v>960</v>
      </c>
      <c r="H360" s="1811" t="s">
        <v>960</v>
      </c>
    </row>
    <row r="361" spans="2:14" ht="18">
      <c r="B361" s="1821" t="s">
        <v>961</v>
      </c>
      <c r="C361" s="2182">
        <f>267360</f>
        <v>267360</v>
      </c>
      <c r="D361" s="2182"/>
      <c r="E361" s="1933">
        <v>0</v>
      </c>
      <c r="F361" s="1814">
        <f t="shared" ref="F361:F367" si="5">+C361+E361</f>
        <v>267360</v>
      </c>
      <c r="G361" s="1556">
        <f t="shared" ref="G361:G367" si="6">+F361/$G$333</f>
        <v>9.9306717577950163E-2</v>
      </c>
      <c r="H361" s="1822">
        <f t="shared" ref="H361:H367" si="7">+G361</f>
        <v>9.9306717577950163E-2</v>
      </c>
    </row>
    <row r="362" spans="2:14" ht="18">
      <c r="B362" s="1821" t="s">
        <v>962</v>
      </c>
      <c r="C362" s="2182">
        <f>241995</f>
        <v>241995</v>
      </c>
      <c r="D362" s="2182"/>
      <c r="E362" s="1933">
        <v>0</v>
      </c>
      <c r="F362" s="1814">
        <f t="shared" si="5"/>
        <v>241995</v>
      </c>
      <c r="G362" s="1556">
        <f t="shared" si="6"/>
        <v>8.9885282466621974E-2</v>
      </c>
      <c r="H362" s="1822">
        <f t="shared" si="7"/>
        <v>8.9885282466621974E-2</v>
      </c>
    </row>
    <row r="363" spans="2:14" ht="18">
      <c r="B363" s="1821" t="s">
        <v>963</v>
      </c>
      <c r="C363" s="2182">
        <f>186295</f>
        <v>186295</v>
      </c>
      <c r="D363" s="2182"/>
      <c r="E363" s="1933">
        <v>0</v>
      </c>
      <c r="F363" s="1814">
        <f t="shared" si="5"/>
        <v>186295</v>
      </c>
      <c r="G363" s="1556">
        <f t="shared" si="6"/>
        <v>6.9196382971215692E-2</v>
      </c>
      <c r="H363" s="1822">
        <f t="shared" si="7"/>
        <v>6.9196382971215692E-2</v>
      </c>
    </row>
    <row r="364" spans="2:14" ht="18">
      <c r="B364" s="1821" t="s">
        <v>964</v>
      </c>
      <c r="C364" s="2182">
        <f>113805</f>
        <v>113805</v>
      </c>
      <c r="D364" s="2182"/>
      <c r="E364" s="1933">
        <v>0</v>
      </c>
      <c r="F364" s="1814">
        <f t="shared" si="5"/>
        <v>113805</v>
      </c>
      <c r="G364" s="1556">
        <f t="shared" si="6"/>
        <v>4.2271098870282083E-2</v>
      </c>
      <c r="H364" s="1822">
        <f t="shared" si="7"/>
        <v>4.2271098870282083E-2</v>
      </c>
    </row>
    <row r="365" spans="2:14" ht="18">
      <c r="B365" s="1821" t="s">
        <v>965</v>
      </c>
      <c r="C365" s="2182">
        <f>39520</f>
        <v>39520</v>
      </c>
      <c r="D365" s="2182"/>
      <c r="E365" s="1933">
        <v>0</v>
      </c>
      <c r="F365" s="1814">
        <f t="shared" si="5"/>
        <v>39520</v>
      </c>
      <c r="G365" s="1556">
        <f t="shared" si="6"/>
        <v>1.4679089911282878E-2</v>
      </c>
      <c r="H365" s="1822">
        <f t="shared" si="7"/>
        <v>1.4679089911282878E-2</v>
      </c>
      <c r="K365" s="504"/>
      <c r="L365" s="504"/>
      <c r="M365" s="504"/>
      <c r="N365" s="504"/>
    </row>
    <row r="366" spans="2:14" ht="18">
      <c r="B366" s="1821" t="s">
        <v>966</v>
      </c>
      <c r="C366" s="2182">
        <f>3600</f>
        <v>3600</v>
      </c>
      <c r="D366" s="2182"/>
      <c r="E366" s="1933">
        <v>0</v>
      </c>
      <c r="F366" s="1814">
        <f t="shared" si="5"/>
        <v>3600</v>
      </c>
      <c r="G366" s="1556">
        <f t="shared" si="6"/>
        <v>1.3371640607443918E-3</v>
      </c>
      <c r="H366" s="1822">
        <f t="shared" si="7"/>
        <v>1.3371640607443918E-3</v>
      </c>
    </row>
    <row r="367" spans="2:14" ht="18">
      <c r="B367" s="1821" t="s">
        <v>967</v>
      </c>
      <c r="C367" s="2182">
        <f>100</f>
        <v>100</v>
      </c>
      <c r="D367" s="2182"/>
      <c r="E367" s="1933">
        <v>0</v>
      </c>
      <c r="F367" s="1814">
        <f t="shared" si="5"/>
        <v>100</v>
      </c>
      <c r="G367" s="1557">
        <f t="shared" si="6"/>
        <v>3.7143446131788664E-5</v>
      </c>
      <c r="H367" s="1823">
        <f t="shared" si="7"/>
        <v>3.7143446131788664E-5</v>
      </c>
    </row>
    <row r="368" spans="2:14" ht="18">
      <c r="B368" s="1420"/>
      <c r="C368" s="1953"/>
      <c r="D368" s="1953"/>
      <c r="E368" s="1954"/>
      <c r="F368" s="1955"/>
      <c r="G368" s="1579"/>
      <c r="H368" s="1580"/>
    </row>
    <row r="369" spans="2:8" ht="18">
      <c r="B369" s="1297"/>
      <c r="C369" s="31"/>
      <c r="D369" s="31"/>
      <c r="E369" s="31"/>
      <c r="F369" s="132"/>
      <c r="G369" s="2265" t="s">
        <v>3123</v>
      </c>
      <c r="H369" s="2266"/>
    </row>
    <row r="370" spans="2:8" hidden="1">
      <c r="B370" s="1049"/>
      <c r="H370" s="1050"/>
    </row>
    <row r="371" spans="2:8" hidden="1">
      <c r="B371" s="1049"/>
      <c r="H371" s="1050"/>
    </row>
    <row r="372" spans="2:8" ht="18" hidden="1">
      <c r="B372" s="1824"/>
      <c r="C372" s="1351"/>
      <c r="D372" s="1351"/>
      <c r="E372" s="1351"/>
      <c r="F372" s="1352"/>
      <c r="G372" s="1353"/>
      <c r="H372" s="1354"/>
    </row>
    <row r="373" spans="2:8" ht="18">
      <c r="B373" s="1287" t="s">
        <v>0</v>
      </c>
      <c r="C373" s="1288"/>
      <c r="D373" s="1288"/>
      <c r="E373" s="1288"/>
      <c r="F373" s="1289"/>
      <c r="G373" s="1237" t="s">
        <v>788</v>
      </c>
      <c r="H373" s="1238" t="s">
        <v>788</v>
      </c>
    </row>
    <row r="374" spans="2:8" ht="18">
      <c r="B374" s="1269"/>
      <c r="C374" s="55"/>
      <c r="D374" s="55"/>
      <c r="E374" s="55"/>
      <c r="F374" s="56"/>
      <c r="G374" s="41" t="str">
        <f>+G309</f>
        <v>March 31, 2023 (₹)</v>
      </c>
      <c r="H374" s="1272" t="str">
        <f>+H309</f>
        <v>March 31, 2022 (₹)</v>
      </c>
    </row>
    <row r="375" spans="2:8" ht="18">
      <c r="B375" s="1310" t="s">
        <v>2800</v>
      </c>
      <c r="C375" s="68"/>
      <c r="D375" s="68"/>
      <c r="E375" s="68"/>
      <c r="F375" s="1959"/>
      <c r="G375" s="59"/>
      <c r="H375" s="1293"/>
    </row>
    <row r="376" spans="2:8" ht="18">
      <c r="B376" s="1310"/>
      <c r="C376" s="68"/>
      <c r="D376" s="68"/>
      <c r="E376" s="68"/>
      <c r="F376" s="1959"/>
      <c r="G376" s="59"/>
      <c r="H376" s="1293"/>
    </row>
    <row r="377" spans="2:8" ht="18">
      <c r="B377" s="1315" t="s">
        <v>969</v>
      </c>
      <c r="C377" s="73"/>
      <c r="D377" s="73"/>
      <c r="E377" s="73"/>
      <c r="F377" s="1959"/>
      <c r="G377" s="59"/>
      <c r="H377" s="1293"/>
    </row>
    <row r="378" spans="2:8" ht="18">
      <c r="B378" s="1355" t="s">
        <v>970</v>
      </c>
      <c r="C378" s="2026"/>
      <c r="D378" s="2026"/>
      <c r="E378" s="2026"/>
      <c r="F378" s="1959"/>
      <c r="G378" s="59"/>
      <c r="H378" s="1293"/>
    </row>
    <row r="379" spans="2:8" ht="18">
      <c r="B379" s="1355"/>
      <c r="C379" s="2026"/>
      <c r="D379" s="2026"/>
      <c r="E379" s="2026"/>
      <c r="F379" s="1959"/>
      <c r="G379" s="59"/>
      <c r="H379" s="1293"/>
    </row>
    <row r="380" spans="2:8" ht="18">
      <c r="B380" s="1296" t="s">
        <v>971</v>
      </c>
      <c r="C380" s="2030"/>
      <c r="D380" s="2030"/>
      <c r="E380" s="2030"/>
      <c r="F380" s="1959"/>
      <c r="G380" s="1857">
        <f>+(GETPIVOTDATA("Sum of Cr. Final 22-23",Pivot!$A$3,"PARTICULARS","S. B I. TERM LOAN  ( 7.75 Cr) A/c 40667225452","Note",13,"BS Main Head","Long Term Borrowings","BS Sub Head","Secured - From Banks - Term Loan")+GETPIVOTDATA("Sum of Cr. Final 22-23",Pivot!$A$3,"PARTICULARS","S.B.I. Add.Term  Loan (1.40lac)A/c.No.41345851422","Note",13,"BS Main Head","Long Term Borrowings","BS Sub Head","Secured - From Banks - Term Loan"))/A1-G422</f>
        <v>573.14949000000001</v>
      </c>
      <c r="H380" s="1858">
        <f>+(GETPIVOTDATA("Sum of Cr. Final 21-22",Pivot!$A$3,"PARTICULARS","S. B I. TERM LOAN  ( 7.75 Cr) A/c 40667225452","Note",13,"BS Main Head","Long Term Borrowings","BS Sub Head","Secured - From Banks - Term Loan"))/A1-'BSPL Lakhs'!H422</f>
        <v>62.437099999999987</v>
      </c>
    </row>
    <row r="381" spans="2:8" ht="111.6" customHeight="1">
      <c r="B381" s="2108" t="s">
        <v>3125</v>
      </c>
      <c r="C381" s="2109"/>
      <c r="D381" s="2109"/>
      <c r="E381" s="2109"/>
      <c r="F381" s="2174"/>
      <c r="G381" s="1881"/>
      <c r="H381" s="1882"/>
    </row>
    <row r="382" spans="2:8" ht="64.5" customHeight="1">
      <c r="B382" s="2108" t="s">
        <v>2927</v>
      </c>
      <c r="C382" s="2109"/>
      <c r="D382" s="2109"/>
      <c r="E382" s="2109"/>
      <c r="F382" s="2174"/>
      <c r="G382" s="1881"/>
      <c r="H382" s="1882"/>
    </row>
    <row r="383" spans="2:8" ht="133.5" customHeight="1">
      <c r="B383" s="2108" t="s">
        <v>2776</v>
      </c>
      <c r="C383" s="2109"/>
      <c r="D383" s="2109"/>
      <c r="E383" s="2109"/>
      <c r="F383" s="2174"/>
      <c r="G383" s="1881"/>
      <c r="H383" s="1882"/>
    </row>
    <row r="384" spans="2:8" ht="18">
      <c r="B384" s="1355"/>
      <c r="C384" s="2033"/>
      <c r="D384" s="2033"/>
      <c r="E384" s="2033"/>
      <c r="F384" s="2033"/>
      <c r="G384" s="1881"/>
      <c r="H384" s="1882"/>
    </row>
    <row r="385" spans="1:17" ht="18">
      <c r="B385" s="1285" t="s">
        <v>972</v>
      </c>
      <c r="C385" s="2034"/>
      <c r="D385" s="2034"/>
      <c r="E385" s="2034"/>
      <c r="F385" s="2034"/>
      <c r="G385" s="1881">
        <f>+(GETPIVOTDATA("Sum of Cr. Final 22-23",Pivot!$A$3,"PARTICULARS","S.B.I. ( GECL)  Term Loan A/c 39366011281(1.46 Cr)","Note",13,"BS Main Head","Long Term Borrowings","BS Sub Head","Secured - From Banks - Term Loan")+GETPIVOTDATA("Sum of Cr. Final 22-23",Pivot!$A$3,"PARTICULARS","S.B.I. ( COVID) A/C. 40590939457 (GECL30%) 73 Lakh","Note",13,"BS Main Head","Long Term Borrowings","BS Sub Head","Secured - From Banks - Term Loan"))/A1-G423</f>
        <v>44.665770899999998</v>
      </c>
      <c r="H385" s="1882">
        <f>+(GETPIVOTDATA("Sum of Cr. Final 21-22",Pivot!$A$3,"PARTICULARS","S.B.I. ( COVID) A/C. 40590939457 (GECL30%) 73 Lakh","Note",13,"BS Main Head","Long Term Borrowings","BS Sub Head","Secured - From Banks - Term Loan")+GETPIVOTDATA("Sum of Cr. Final 21-22",Pivot!$A$3,"PARTICULARS","S.B.I. ( GECL)  Term Loan A/c 39366011281(1.46 Cr)","Note",13,"BS Main Head","Long Term Borrowings","BS Sub Head","Secured - From Banks - Term Loan"))/A1-'BSPL Lakhs'!H423</f>
        <v>128.01423</v>
      </c>
    </row>
    <row r="386" spans="1:17" ht="92.4" customHeight="1">
      <c r="B386" s="2108" t="s">
        <v>3126</v>
      </c>
      <c r="C386" s="2109"/>
      <c r="D386" s="2109"/>
      <c r="E386" s="2109"/>
      <c r="F386" s="2174"/>
      <c r="G386" s="1881"/>
      <c r="H386" s="1882"/>
    </row>
    <row r="387" spans="1:17" ht="61.2" customHeight="1">
      <c r="B387" s="2108" t="s">
        <v>2928</v>
      </c>
      <c r="C387" s="2109"/>
      <c r="D387" s="2109"/>
      <c r="E387" s="2109"/>
      <c r="F387" s="2174"/>
      <c r="G387" s="1881"/>
      <c r="H387" s="1882"/>
    </row>
    <row r="388" spans="1:17" ht="18">
      <c r="B388" s="1316"/>
      <c r="C388" s="2024"/>
      <c r="D388" s="2024"/>
      <c r="E388" s="2024"/>
      <c r="F388" s="2024"/>
      <c r="G388" s="1881"/>
      <c r="H388" s="1882"/>
    </row>
    <row r="389" spans="1:17" ht="18">
      <c r="B389" s="1285" t="s">
        <v>973</v>
      </c>
      <c r="C389" s="2026"/>
      <c r="D389" s="2026"/>
      <c r="E389" s="2026"/>
      <c r="F389" s="1959"/>
      <c r="G389" s="1857"/>
      <c r="H389" s="1858"/>
    </row>
    <row r="390" spans="1:17" ht="18">
      <c r="B390" s="1294" t="s">
        <v>974</v>
      </c>
      <c r="C390" s="2026"/>
      <c r="D390" s="2026"/>
      <c r="E390" s="2026"/>
      <c r="F390" s="1959"/>
      <c r="G390" s="1857">
        <f>+GETPIVOTDATA("Sum of Cr. Final 22-23",Pivot!$A$3,"Note",13,"BS Main Head","Long Term Borrowings","BS Sub Head","Unsecured-From Others")/A1</f>
        <v>150</v>
      </c>
      <c r="H390" s="1858">
        <f>+GETPIVOTDATA("Sum of Cr. Final 21-22",Pivot!$A$3,"Note",13,"BS Main Head","Long Term Borrowings","BS Sub Head","Unsecured-From Others")</f>
        <v>0</v>
      </c>
    </row>
    <row r="391" spans="1:17" ht="18">
      <c r="B391" s="1318" t="s">
        <v>2777</v>
      </c>
      <c r="C391" s="2026"/>
      <c r="D391" s="2026"/>
      <c r="E391" s="2026"/>
      <c r="F391" s="1959"/>
      <c r="G391" s="1857">
        <f>+GETPIVOTDATA("Sum of Cr. Final 22-23",Pivot!$A$3,"Note",13,"BS Main Head","Long Term Borrowings","BS Sub Head","Unsecured-From Related Party")/A1</f>
        <v>378.07578999999998</v>
      </c>
      <c r="H391" s="1858">
        <f>+GETPIVOTDATA("Sum of Cr. Final 21-22",Pivot!$A$3,"Note",13,"BS Main Head","Long Term Borrowings","BS Sub Head","Unsecured-From Related Party")/A1</f>
        <v>240.20979</v>
      </c>
    </row>
    <row r="392" spans="1:17" ht="18.600000000000001" thickBot="1">
      <c r="B392" s="2035"/>
      <c r="C392" s="2036"/>
      <c r="D392" s="2036"/>
      <c r="E392" s="2036"/>
      <c r="F392" s="2037"/>
      <c r="G392" s="2053">
        <f>+SUM(G380:G391)</f>
        <v>1145.8910509</v>
      </c>
      <c r="H392" s="2054">
        <f>+SUM(H380:H391)</f>
        <v>430.66111999999998</v>
      </c>
      <c r="I392" s="768"/>
    </row>
    <row r="393" spans="1:17" ht="18">
      <c r="B393" s="2102" t="s">
        <v>785</v>
      </c>
      <c r="C393" s="2103"/>
      <c r="D393" s="2103"/>
      <c r="E393" s="2103"/>
      <c r="F393" s="2103"/>
      <c r="G393" s="2103"/>
      <c r="H393" s="2104"/>
    </row>
    <row r="394" spans="1:17" ht="18">
      <c r="B394" s="2124" t="s">
        <v>2241</v>
      </c>
      <c r="C394" s="2125"/>
      <c r="D394" s="2125"/>
      <c r="E394" s="2125"/>
      <c r="F394" s="2125"/>
      <c r="G394" s="2125"/>
      <c r="H394" s="2126"/>
    </row>
    <row r="395" spans="1:17" ht="18">
      <c r="B395" s="1422"/>
      <c r="C395" s="1952"/>
      <c r="D395" s="1952"/>
      <c r="E395" s="1952"/>
      <c r="F395" s="1952"/>
      <c r="G395" s="2106" t="s">
        <v>3123</v>
      </c>
      <c r="H395" s="2107"/>
    </row>
    <row r="396" spans="1:17" ht="18">
      <c r="B396" s="1287" t="s">
        <v>0</v>
      </c>
      <c r="C396" s="1288"/>
      <c r="D396" s="1288"/>
      <c r="E396" s="1288"/>
      <c r="F396" s="1581"/>
      <c r="G396" s="1237" t="s">
        <v>788</v>
      </c>
      <c r="H396" s="1238" t="s">
        <v>788</v>
      </c>
    </row>
    <row r="397" spans="1:17" ht="18">
      <c r="B397" s="1269"/>
      <c r="C397" s="55"/>
      <c r="D397" s="55"/>
      <c r="E397" s="55"/>
      <c r="F397" s="119"/>
      <c r="G397" s="41" t="str">
        <f>+G6</f>
        <v>March 31, 2023 (₹)</v>
      </c>
      <c r="H397" s="1272" t="str">
        <f>+H6</f>
        <v>March 31, 2022 (₹)</v>
      </c>
    </row>
    <row r="398" spans="1:17" ht="18">
      <c r="B398" s="1297"/>
      <c r="C398" s="34"/>
      <c r="D398" s="34"/>
      <c r="E398" s="34"/>
      <c r="F398" s="1958"/>
      <c r="G398" s="67"/>
      <c r="H398" s="1309"/>
    </row>
    <row r="399" spans="1:17" s="766" customFormat="1" ht="18">
      <c r="A399"/>
      <c r="B399" s="1325" t="s">
        <v>2801</v>
      </c>
      <c r="C399" s="34"/>
      <c r="D399" s="34"/>
      <c r="E399" s="34"/>
      <c r="F399" s="1958"/>
      <c r="G399" s="81"/>
      <c r="H399" s="1324"/>
      <c r="J399"/>
      <c r="K399" s="3"/>
      <c r="L399" s="3"/>
      <c r="M399" s="3"/>
      <c r="N399" s="3"/>
      <c r="O399"/>
      <c r="P399"/>
      <c r="Q399"/>
    </row>
    <row r="400" spans="1:17" s="766" customFormat="1" ht="18">
      <c r="A400"/>
      <c r="B400" s="1297" t="s">
        <v>975</v>
      </c>
      <c r="C400" s="34"/>
      <c r="D400" s="34"/>
      <c r="E400" s="34"/>
      <c r="F400" s="1958"/>
      <c r="G400" s="1893">
        <f>+(GETPIVOTDATA("Sum of Cr. Final 22-23",Pivot!$A$3,"Note",14,"BS Main Head","Non Current - Provisions")-GETPIVOTDATA("Sum of Dr. Final 22-23",Pivot!$A$3,"Note",14,"BS Main Head","Non Current - Provisions"))/A1-G479</f>
        <v>8.3898970000000013</v>
      </c>
      <c r="H400" s="1894">
        <f>+(GETPIVOTDATA("Sum of Cr. Final 21-22",Pivot!$A$3,"Note",14,"BS Main Head","Non Current - Provisions")-GETPIVOTDATA("Sum of Dr. Final 21-22",Pivot!$A$3,"Note",14,"BS Main Head","Non Current - Provisions"))/A1-H479</f>
        <v>9.7507570000000001</v>
      </c>
      <c r="J400"/>
      <c r="K400" s="3"/>
      <c r="L400" s="3"/>
      <c r="M400" s="3"/>
      <c r="N400" s="3"/>
      <c r="O400"/>
      <c r="P400"/>
      <c r="Q400"/>
    </row>
    <row r="401" spans="1:17" s="766" customFormat="1" ht="18">
      <c r="A401"/>
      <c r="B401" s="1297"/>
      <c r="C401" s="34"/>
      <c r="D401" s="34"/>
      <c r="E401" s="34"/>
      <c r="F401" s="1958"/>
      <c r="G401" s="1895">
        <f>+SUM(G400)</f>
        <v>8.3898970000000013</v>
      </c>
      <c r="H401" s="1896">
        <f>+SUM(H400)</f>
        <v>9.7507570000000001</v>
      </c>
      <c r="J401"/>
      <c r="K401" s="3"/>
      <c r="L401" s="3"/>
      <c r="M401" s="3"/>
      <c r="N401" s="3"/>
      <c r="O401"/>
      <c r="P401"/>
      <c r="Q401"/>
    </row>
    <row r="402" spans="1:17" s="766" customFormat="1" ht="18">
      <c r="A402"/>
      <c r="B402" s="1325" t="s">
        <v>2802</v>
      </c>
      <c r="C402" s="73"/>
      <c r="D402" s="73"/>
      <c r="E402" s="73"/>
      <c r="F402" s="1959"/>
      <c r="G402" s="59"/>
      <c r="H402" s="1293"/>
      <c r="J402"/>
      <c r="K402" s="3"/>
      <c r="L402" s="3"/>
      <c r="M402" s="3"/>
      <c r="N402" s="3"/>
      <c r="O402"/>
      <c r="P402"/>
      <c r="Q402"/>
    </row>
    <row r="403" spans="1:17" s="766" customFormat="1" ht="18">
      <c r="A403"/>
      <c r="B403" s="2168" t="s">
        <v>976</v>
      </c>
      <c r="C403" s="2169"/>
      <c r="D403" s="2169"/>
      <c r="E403" s="2169"/>
      <c r="F403" s="1959"/>
      <c r="G403" s="59"/>
      <c r="H403" s="1293"/>
      <c r="J403"/>
      <c r="K403" s="3"/>
      <c r="L403" s="3"/>
      <c r="M403" s="3"/>
      <c r="N403" s="3"/>
      <c r="O403"/>
      <c r="P403"/>
      <c r="Q403"/>
    </row>
    <row r="404" spans="1:17" s="766" customFormat="1" ht="18">
      <c r="A404"/>
      <c r="B404" s="1357" t="s">
        <v>2929</v>
      </c>
      <c r="C404" s="1077"/>
      <c r="D404" s="1077"/>
      <c r="E404" s="1077"/>
      <c r="F404" s="1077"/>
      <c r="G404" s="76"/>
      <c r="H404" s="1319"/>
      <c r="J404"/>
      <c r="K404" s="3"/>
      <c r="L404" s="3"/>
      <c r="M404" s="3"/>
      <c r="N404" s="3"/>
      <c r="O404"/>
      <c r="P404"/>
      <c r="Q404"/>
    </row>
    <row r="405" spans="1:17" s="766" customFormat="1" ht="18">
      <c r="A405"/>
      <c r="B405" s="1358" t="s">
        <v>977</v>
      </c>
      <c r="C405" s="1077"/>
      <c r="D405" s="1077"/>
      <c r="E405" s="1077"/>
      <c r="F405" s="1077"/>
      <c r="G405" s="76"/>
      <c r="H405" s="1319"/>
      <c r="J405"/>
      <c r="K405" s="3"/>
      <c r="L405" s="3"/>
      <c r="M405" s="3"/>
      <c r="N405" s="3"/>
      <c r="O405"/>
      <c r="P405"/>
      <c r="Q405"/>
    </row>
    <row r="406" spans="1:17" s="766" customFormat="1" ht="18">
      <c r="A406"/>
      <c r="B406" s="1359" t="s">
        <v>978</v>
      </c>
      <c r="C406" s="1077"/>
      <c r="D406" s="1077"/>
      <c r="E406" s="1077"/>
      <c r="F406" s="1077"/>
      <c r="G406" s="1883">
        <f>+DT!J15/A1</f>
        <v>155.42258215957767</v>
      </c>
      <c r="H406" s="1884">
        <f>16810592.9665136/A1</f>
        <v>168.10592966513599</v>
      </c>
      <c r="J406"/>
      <c r="K406" s="3"/>
      <c r="L406" s="3"/>
      <c r="M406" s="3"/>
      <c r="N406" s="3"/>
      <c r="O406"/>
      <c r="P406"/>
      <c r="Q406"/>
    </row>
    <row r="407" spans="1:17" s="766" customFormat="1" ht="18">
      <c r="A407"/>
      <c r="B407" s="1357" t="s">
        <v>979</v>
      </c>
      <c r="C407" s="1077"/>
      <c r="D407" s="1077"/>
      <c r="E407" s="1077"/>
      <c r="F407" s="1077"/>
      <c r="G407" s="1885">
        <f>+G406</f>
        <v>155.42258215957767</v>
      </c>
      <c r="H407" s="1886">
        <f>+H406</f>
        <v>168.10592966513599</v>
      </c>
      <c r="J407"/>
      <c r="K407" s="3"/>
      <c r="L407" s="3"/>
      <c r="M407" s="3"/>
      <c r="N407" s="3"/>
      <c r="O407"/>
      <c r="P407"/>
      <c r="Q407"/>
    </row>
    <row r="408" spans="1:17" s="766" customFormat="1" ht="18">
      <c r="A408"/>
      <c r="B408" s="1357"/>
      <c r="C408" s="1077"/>
      <c r="D408" s="1077"/>
      <c r="E408" s="1077"/>
      <c r="F408" s="1077"/>
      <c r="G408" s="1885"/>
      <c r="H408" s="1886"/>
      <c r="J408"/>
      <c r="K408" s="3"/>
      <c r="L408" s="3"/>
      <c r="M408" s="3"/>
      <c r="N408" s="3"/>
      <c r="O408"/>
      <c r="P408"/>
      <c r="Q408"/>
    </row>
    <row r="409" spans="1:17" s="766" customFormat="1" ht="18">
      <c r="A409"/>
      <c r="B409" s="1357" t="s">
        <v>2930</v>
      </c>
      <c r="C409" s="1077"/>
      <c r="D409" s="1077"/>
      <c r="E409" s="1077"/>
      <c r="F409" s="1077"/>
      <c r="G409" s="1887"/>
      <c r="H409" s="1888"/>
      <c r="J409"/>
      <c r="K409" s="3"/>
      <c r="L409" s="3"/>
      <c r="M409" s="3"/>
      <c r="N409" s="3"/>
      <c r="O409"/>
      <c r="P409"/>
      <c r="Q409"/>
    </row>
    <row r="410" spans="1:17" s="766" customFormat="1" ht="18">
      <c r="A410"/>
      <c r="B410" s="1358" t="s">
        <v>977</v>
      </c>
      <c r="C410" s="1077"/>
      <c r="D410" s="1077"/>
      <c r="E410" s="1077"/>
      <c r="F410" s="1077"/>
      <c r="G410" s="1887"/>
      <c r="H410" s="1888"/>
      <c r="J410"/>
      <c r="K410" s="3"/>
      <c r="L410" s="3"/>
      <c r="M410" s="3"/>
      <c r="N410" s="3"/>
      <c r="O410"/>
      <c r="P410"/>
      <c r="Q410"/>
    </row>
    <row r="411" spans="1:17" s="766" customFormat="1" ht="18">
      <c r="A411"/>
      <c r="B411" s="1359" t="s">
        <v>2778</v>
      </c>
      <c r="C411" s="1077"/>
      <c r="D411" s="1077"/>
      <c r="E411" s="1077"/>
      <c r="F411" s="1077"/>
      <c r="G411" s="1887">
        <f>+DT!J24/A1</f>
        <v>111.58446995069338</v>
      </c>
      <c r="H411" s="1888"/>
      <c r="J411"/>
      <c r="K411" s="3"/>
      <c r="L411" s="3"/>
      <c r="M411" s="3"/>
      <c r="N411" s="3"/>
      <c r="O411"/>
      <c r="P411"/>
      <c r="Q411"/>
    </row>
    <row r="412" spans="1:17" s="766" customFormat="1" ht="18">
      <c r="A412"/>
      <c r="B412" s="1359" t="s">
        <v>2931</v>
      </c>
      <c r="C412" s="1077"/>
      <c r="D412" s="1077"/>
      <c r="E412" s="1077"/>
      <c r="F412" s="1077"/>
      <c r="G412" s="1887">
        <f>DT!J21/A1</f>
        <v>2.7805430223999998</v>
      </c>
      <c r="H412" s="1888">
        <f>+[74]DT!$J$25/A1</f>
        <v>6.5946401664000005</v>
      </c>
      <c r="J412"/>
      <c r="K412" s="3"/>
      <c r="L412" s="3"/>
      <c r="M412" s="3"/>
      <c r="N412" s="3"/>
      <c r="O412"/>
      <c r="P412"/>
      <c r="Q412"/>
    </row>
    <row r="413" spans="1:17" s="766" customFormat="1" ht="18">
      <c r="A413"/>
      <c r="B413" s="1357" t="s">
        <v>979</v>
      </c>
      <c r="C413" s="1077"/>
      <c r="D413" s="1077"/>
      <c r="E413" s="1077"/>
      <c r="F413" s="1077"/>
      <c r="G413" s="1889">
        <f>+G412+G411</f>
        <v>114.36501297309337</v>
      </c>
      <c r="H413" s="1890">
        <f>+H412</f>
        <v>6.5946401664000005</v>
      </c>
      <c r="J413"/>
      <c r="K413" s="3"/>
      <c r="L413" s="3"/>
      <c r="M413" s="3"/>
      <c r="N413" s="3"/>
      <c r="O413"/>
      <c r="P413"/>
      <c r="Q413"/>
    </row>
    <row r="414" spans="1:17" s="766" customFormat="1" ht="18">
      <c r="A414"/>
      <c r="B414" s="1357" t="s">
        <v>980</v>
      </c>
      <c r="C414" s="35"/>
      <c r="D414" s="35"/>
      <c r="E414" s="1958"/>
      <c r="F414" s="1958"/>
      <c r="G414" s="1891">
        <f>+G407-G413</f>
        <v>41.057569186484301</v>
      </c>
      <c r="H414" s="1892">
        <f>+H407-H413</f>
        <v>161.51128949873598</v>
      </c>
      <c r="J414"/>
      <c r="K414" s="3"/>
      <c r="L414" s="3"/>
      <c r="M414" s="3"/>
      <c r="N414" s="3"/>
      <c r="O414"/>
      <c r="P414"/>
      <c r="Q414"/>
    </row>
    <row r="415" spans="1:17" s="766" customFormat="1" ht="18">
      <c r="A415"/>
      <c r="B415" s="1357"/>
      <c r="C415" s="35"/>
      <c r="D415" s="35"/>
      <c r="E415" s="1958"/>
      <c r="F415" s="1958"/>
      <c r="G415" s="1885"/>
      <c r="H415" s="1886"/>
      <c r="J415"/>
      <c r="K415" s="3"/>
      <c r="L415" s="3"/>
      <c r="M415" s="3"/>
      <c r="N415" s="3"/>
      <c r="O415"/>
      <c r="P415"/>
      <c r="Q415"/>
    </row>
    <row r="416" spans="1:17" s="766" customFormat="1" ht="18">
      <c r="A416"/>
      <c r="B416" s="1283" t="s">
        <v>911</v>
      </c>
      <c r="C416" s="34"/>
      <c r="D416" s="34"/>
      <c r="E416" s="1958"/>
      <c r="F416" s="1959"/>
      <c r="G416" s="1891">
        <f>+G414</f>
        <v>41.057569186484301</v>
      </c>
      <c r="H416" s="1892">
        <f>+H414</f>
        <v>161.51128949873598</v>
      </c>
      <c r="J416"/>
      <c r="K416" s="3"/>
      <c r="L416" s="3"/>
      <c r="M416" s="3"/>
      <c r="N416" s="3"/>
      <c r="O416"/>
      <c r="P416"/>
      <c r="Q416"/>
    </row>
    <row r="417" spans="1:17" s="766" customFormat="1" ht="18">
      <c r="A417"/>
      <c r="B417" s="1283"/>
      <c r="C417" s="34"/>
      <c r="D417" s="34"/>
      <c r="E417" s="1958"/>
      <c r="F417" s="1959"/>
      <c r="G417" s="59"/>
      <c r="H417" s="1293"/>
      <c r="J417"/>
      <c r="K417" s="3"/>
      <c r="L417" s="3"/>
      <c r="M417" s="3"/>
      <c r="N417" s="3"/>
      <c r="O417"/>
      <c r="P417"/>
      <c r="Q417"/>
    </row>
    <row r="418" spans="1:17" s="766" customFormat="1" ht="18">
      <c r="A418"/>
      <c r="B418" s="1310" t="s">
        <v>2803</v>
      </c>
      <c r="C418" s="68"/>
      <c r="D418" s="68"/>
      <c r="E418" s="68"/>
      <c r="F418" s="1959"/>
      <c r="G418" s="59"/>
      <c r="H418" s="1293"/>
      <c r="J418"/>
      <c r="K418" s="3"/>
      <c r="L418" s="3"/>
      <c r="M418" s="3"/>
      <c r="N418" s="3"/>
      <c r="O418"/>
      <c r="P418"/>
      <c r="Q418"/>
    </row>
    <row r="419" spans="1:17" s="766" customFormat="1" ht="18">
      <c r="A419"/>
      <c r="B419" s="1310"/>
      <c r="C419" s="68"/>
      <c r="D419" s="68"/>
      <c r="E419" s="68"/>
      <c r="F419" s="1959"/>
      <c r="G419" s="59"/>
      <c r="H419" s="1293"/>
      <c r="J419"/>
      <c r="K419" s="3"/>
      <c r="L419" s="3"/>
      <c r="M419" s="3"/>
      <c r="N419" s="3"/>
      <c r="O419"/>
      <c r="P419"/>
      <c r="Q419"/>
    </row>
    <row r="420" spans="1:17" s="766" customFormat="1" ht="18">
      <c r="A420"/>
      <c r="B420" s="1296" t="s">
        <v>969</v>
      </c>
      <c r="C420" s="2027"/>
      <c r="D420" s="2027"/>
      <c r="E420" s="2027"/>
      <c r="F420" s="1959"/>
      <c r="G420" s="59"/>
      <c r="H420" s="1293"/>
      <c r="J420"/>
      <c r="K420" s="3"/>
      <c r="L420" s="3"/>
      <c r="M420" s="3"/>
      <c r="N420" s="3"/>
      <c r="O420"/>
      <c r="P420"/>
      <c r="Q420"/>
    </row>
    <row r="421" spans="1:17" s="766" customFormat="1" ht="18">
      <c r="A421"/>
      <c r="B421" s="1361" t="s">
        <v>997</v>
      </c>
      <c r="C421" s="73"/>
      <c r="D421" s="73"/>
      <c r="E421" s="73"/>
      <c r="F421" s="1959"/>
      <c r="G421" s="59"/>
      <c r="H421" s="1293"/>
      <c r="J421"/>
      <c r="K421" s="3"/>
      <c r="L421" s="3"/>
      <c r="M421" s="3"/>
      <c r="N421" s="3"/>
      <c r="O421"/>
      <c r="P421"/>
      <c r="Q421"/>
    </row>
    <row r="422" spans="1:17" s="766" customFormat="1" ht="18">
      <c r="A422"/>
      <c r="B422" s="1318" t="s">
        <v>998</v>
      </c>
      <c r="C422" s="2040"/>
      <c r="D422" s="2040"/>
      <c r="E422" s="2040"/>
      <c r="F422" s="2024"/>
      <c r="G422" s="1881">
        <f>+SUM('TL &amp; intt.'!M26:M29)/A1</f>
        <v>155</v>
      </c>
      <c r="H422" s="1882">
        <f>15500000/A1</f>
        <v>155</v>
      </c>
      <c r="J422"/>
      <c r="K422" s="3"/>
      <c r="L422" s="3"/>
      <c r="M422" s="3"/>
      <c r="N422" s="3"/>
      <c r="O422"/>
      <c r="P422"/>
      <c r="Q422"/>
    </row>
    <row r="423" spans="1:17" s="766" customFormat="1" ht="18">
      <c r="A423"/>
      <c r="B423" s="1318" t="s">
        <v>999</v>
      </c>
      <c r="C423" s="2040"/>
      <c r="D423" s="2040"/>
      <c r="E423" s="2040"/>
      <c r="F423" s="2024"/>
      <c r="G423" s="1881">
        <f>+('TL &amp; intt.'!H6+'TL &amp; intt.'!H5+'TL &amp; intt.'!B90)/A1</f>
        <v>75.000159999999994</v>
      </c>
      <c r="H423" s="1882">
        <f>4866672/A1</f>
        <v>48.666719999999998</v>
      </c>
      <c r="J423"/>
      <c r="K423" s="3"/>
      <c r="L423" s="3"/>
      <c r="M423" s="3"/>
      <c r="N423" s="3"/>
      <c r="O423"/>
      <c r="P423"/>
      <c r="Q423"/>
    </row>
    <row r="424" spans="1:17" s="766" customFormat="1" ht="18">
      <c r="A424"/>
      <c r="B424" s="1318"/>
      <c r="C424" s="2040"/>
      <c r="D424" s="2040"/>
      <c r="E424" s="2040"/>
      <c r="F424" s="2024"/>
      <c r="G424" s="1881"/>
      <c r="H424" s="1882"/>
      <c r="J424"/>
      <c r="K424" s="3"/>
      <c r="L424" s="3"/>
      <c r="M424" s="3"/>
      <c r="N424" s="3"/>
      <c r="O424"/>
      <c r="P424"/>
      <c r="Q424"/>
    </row>
    <row r="425" spans="1:17" s="766" customFormat="1" ht="18">
      <c r="A425"/>
      <c r="B425" s="1362" t="s">
        <v>981</v>
      </c>
      <c r="C425" s="2030"/>
      <c r="D425" s="2030"/>
      <c r="E425" s="2030"/>
      <c r="F425" s="1959"/>
      <c r="G425" s="1857"/>
      <c r="H425" s="1858"/>
      <c r="J425"/>
      <c r="K425" s="3"/>
      <c r="L425" s="3"/>
      <c r="M425" s="3"/>
      <c r="N425" s="3"/>
      <c r="O425"/>
      <c r="P425"/>
      <c r="Q425"/>
    </row>
    <row r="426" spans="1:17" s="766" customFormat="1" ht="18">
      <c r="A426"/>
      <c r="B426" s="1363" t="s">
        <v>982</v>
      </c>
      <c r="C426" s="2030"/>
      <c r="D426" s="2030"/>
      <c r="E426" s="2030"/>
      <c r="F426" s="1959"/>
      <c r="G426" s="1857">
        <f>+GETPIVOTDATA("Sum of Cr. Final 22-23",Pivot!$A$3,"Note",16,"BS Main Head","Short Term Borrowings","BS Sub Head","Secured - From Banks - Working Capital Loan")/A1</f>
        <v>782.74677280000003</v>
      </c>
      <c r="H426" s="1858">
        <f>+GETPIVOTDATA("Sum of Cr. Final 21-22",Pivot!$A$3,"Note",16,"BS Main Head","Short Term Borrowings")/A1</f>
        <v>568.4240757</v>
      </c>
      <c r="J426"/>
      <c r="K426" s="3"/>
      <c r="L426" s="3"/>
      <c r="M426" s="3"/>
      <c r="N426" s="3"/>
      <c r="O426"/>
      <c r="P426"/>
      <c r="Q426"/>
    </row>
    <row r="427" spans="1:17" s="766" customFormat="1" ht="35.4" customHeight="1">
      <c r="A427"/>
      <c r="B427" s="2170" t="s">
        <v>3127</v>
      </c>
      <c r="C427" s="2171"/>
      <c r="D427" s="2171"/>
      <c r="E427" s="2171"/>
      <c r="F427" s="2171"/>
      <c r="G427" s="1881"/>
      <c r="H427" s="1882"/>
      <c r="J427"/>
      <c r="K427" s="3"/>
      <c r="L427" s="3"/>
      <c r="M427" s="3"/>
      <c r="N427" s="3"/>
      <c r="O427"/>
      <c r="P427"/>
      <c r="Q427"/>
    </row>
    <row r="428" spans="1:17" s="766" customFormat="1" ht="59.25" customHeight="1">
      <c r="A428"/>
      <c r="B428" s="2170"/>
      <c r="C428" s="2171"/>
      <c r="D428" s="2171"/>
      <c r="E428" s="2171"/>
      <c r="F428" s="2171"/>
      <c r="G428" s="1881"/>
      <c r="H428" s="1882"/>
      <c r="J428"/>
      <c r="K428" s="3"/>
      <c r="L428" s="3"/>
      <c r="M428" s="3"/>
      <c r="N428" s="3"/>
      <c r="O428"/>
      <c r="P428"/>
      <c r="Q428"/>
    </row>
    <row r="429" spans="1:17" s="766" customFormat="1" ht="18">
      <c r="A429"/>
      <c r="B429" s="1294"/>
      <c r="C429" s="2004"/>
      <c r="D429" s="2004"/>
      <c r="E429" s="2004"/>
      <c r="F429" s="1959"/>
      <c r="G429" s="1869">
        <f>+SUM(G422:G428)</f>
        <v>1012.7469328</v>
      </c>
      <c r="H429" s="1870">
        <f>+SUM(H422:H428)</f>
        <v>772.09079569999994</v>
      </c>
      <c r="J429"/>
      <c r="K429" s="3"/>
      <c r="L429" s="3"/>
      <c r="M429" s="3"/>
      <c r="N429" s="3"/>
      <c r="O429"/>
      <c r="P429"/>
      <c r="Q429"/>
    </row>
    <row r="430" spans="1:17" s="766" customFormat="1" ht="18">
      <c r="A430"/>
      <c r="B430" s="1310" t="s">
        <v>2804</v>
      </c>
      <c r="C430" s="2041"/>
      <c r="D430" s="2041"/>
      <c r="E430" s="2041"/>
      <c r="F430" s="1959"/>
      <c r="G430" s="1857"/>
      <c r="H430" s="1858"/>
      <c r="J430"/>
      <c r="K430" s="3"/>
      <c r="L430" s="3"/>
      <c r="M430" s="3"/>
      <c r="N430" s="3"/>
      <c r="O430"/>
      <c r="P430"/>
      <c r="Q430"/>
    </row>
    <row r="431" spans="1:17" ht="18">
      <c r="B431" s="1285" t="s">
        <v>2932</v>
      </c>
      <c r="C431" s="2041"/>
      <c r="D431" s="2041"/>
      <c r="E431" s="2041"/>
      <c r="F431" s="1959"/>
      <c r="G431" s="1857"/>
      <c r="H431" s="1858"/>
    </row>
    <row r="432" spans="1:17" ht="18">
      <c r="B432" s="1318" t="s">
        <v>983</v>
      </c>
      <c r="C432" s="2041"/>
      <c r="D432" s="2041"/>
      <c r="E432" s="2041"/>
      <c r="F432" s="1959"/>
      <c r="G432" s="1857">
        <f>+SUMIF('MSME 22-23'!E:E,"MSME",'MSME 22-23'!I:I)/A1</f>
        <v>138.222195</v>
      </c>
      <c r="H432" s="1858">
        <v>0</v>
      </c>
    </row>
    <row r="433" spans="2:9" ht="18">
      <c r="B433" s="1318" t="s">
        <v>984</v>
      </c>
      <c r="C433" s="2041"/>
      <c r="D433" s="2041"/>
      <c r="E433" s="2041"/>
      <c r="F433" s="1959"/>
      <c r="G433" s="1857">
        <f>+(GETPIVOTDATA("Sum of Cr. Final 22-23",Pivot!$A$3,"Note",17,"BS Main Head","Trade Payables")-GETPIVOTDATA("Sum of Dr. Final 22-23",Pivot!$A$3,"Note",17,"BS Main Head","Trade Payables"))/A1-G432</f>
        <v>777.75702490151002</v>
      </c>
      <c r="H433" s="1858">
        <f>+(GETPIVOTDATA("Sum of Cr. Final 21-22",Pivot!$A$3,"Note",17,"BS Main Head","Trade Payables","BS Sub Head","Trade Payables")-GETPIVOTDATA("Sum of Dr. Final 21-22",Pivot!$A$3,"Note",17,"BS Main Head","Trade Payables","BS Sub Head","Trade Payables")+GETPIVOTDATA("Sum of Cr. Final 21-22",Pivot!$A$3,"Note",17,"BS Main Head","Trade Payables","BS Sub Head","Trade Payables - Others")-GETPIVOTDATA("Sum of Dr. Final 21-22",Pivot!$A$3,"Note",17,"BS Main Head","Trade Payables","BS Sub Head","Trade Payables - Others"))/A1</f>
        <v>873.56478839999988</v>
      </c>
      <c r="I433" s="767"/>
    </row>
    <row r="434" spans="2:9" ht="18">
      <c r="B434" s="1558"/>
      <c r="C434" s="1559"/>
      <c r="D434" s="1559"/>
      <c r="E434" s="1559"/>
      <c r="F434" s="38"/>
      <c r="G434" s="1869">
        <f>+SUM(G432:G433)</f>
        <v>915.97921990151008</v>
      </c>
      <c r="H434" s="1870">
        <f>+SUM(H432:H433)</f>
        <v>873.56478839999988</v>
      </c>
    </row>
    <row r="435" spans="2:9">
      <c r="B435" s="2108" t="s">
        <v>3137</v>
      </c>
      <c r="C435" s="2109"/>
      <c r="D435" s="2109"/>
      <c r="E435" s="2109"/>
      <c r="F435" s="2109"/>
      <c r="G435" s="2109"/>
      <c r="H435" s="2172"/>
    </row>
    <row r="436" spans="2:9" ht="41.25" customHeight="1">
      <c r="B436" s="2108"/>
      <c r="C436" s="2109"/>
      <c r="D436" s="2109"/>
      <c r="E436" s="2109"/>
      <c r="F436" s="2109"/>
      <c r="G436" s="2109"/>
      <c r="H436" s="2172"/>
    </row>
    <row r="437" spans="2:9">
      <c r="B437" s="2108"/>
      <c r="C437" s="2109"/>
      <c r="D437" s="2109"/>
      <c r="E437" s="2109"/>
      <c r="F437" s="2109"/>
      <c r="G437" s="2109"/>
      <c r="H437" s="2172"/>
    </row>
    <row r="438" spans="2:9" ht="18">
      <c r="B438" s="2175" t="s">
        <v>532</v>
      </c>
      <c r="C438" s="2176"/>
      <c r="D438" s="2179" t="s">
        <v>906</v>
      </c>
      <c r="E438" s="2180"/>
      <c r="F438" s="2180"/>
      <c r="G438" s="2180"/>
      <c r="H438" s="2181"/>
    </row>
    <row r="439" spans="2:9" ht="18">
      <c r="B439" s="2175"/>
      <c r="C439" s="2176"/>
      <c r="D439" s="1760" t="s">
        <v>989</v>
      </c>
      <c r="E439" s="1760" t="s">
        <v>907</v>
      </c>
      <c r="F439" s="1550" t="s">
        <v>908</v>
      </c>
      <c r="G439" s="1548" t="s">
        <v>909</v>
      </c>
      <c r="H439" s="1791" t="s">
        <v>910</v>
      </c>
    </row>
    <row r="440" spans="2:9" ht="18">
      <c r="B440" s="1826" t="s">
        <v>985</v>
      </c>
      <c r="C440" s="1762"/>
      <c r="D440" s="1761">
        <v>0</v>
      </c>
      <c r="E440" s="1934">
        <f>+(SUM('[76]CG CR LIST '!$J$10:$J$13)+'[76]CG CR LIST '!$N$20+'[76]CG CR LIST '!$N$23+'[76]CG CR LIST '!$J$32+'[76]CG CR LIST '!$F$38+'[76]EXP CR LIST '!$F$9+'[76]EXP CR LIST '!$F$155+'[76]EXP CR LIST '!$F$53+'[76]EXP CR LIST '!$F$90+'[76]EXP CR LIST '!$F$98+'[76]GOODS CR LIST '!$F$246+'[76]GOODS CR LIST '!$F$674+'[76]GOODS CR LIST '!$F$794+'[76]GOODS CR LIST '!$J$950+'[76]TRANS CR LIST '!$F$24)/A1</f>
        <v>136.06704500000001</v>
      </c>
      <c r="F440" s="1900">
        <f>+('[76]CG CR LIST '!$O$19)/A1</f>
        <v>2.1551499999999999</v>
      </c>
      <c r="G440" s="1551">
        <v>0</v>
      </c>
      <c r="H440" s="1817">
        <v>0</v>
      </c>
    </row>
    <row r="441" spans="2:9" ht="18">
      <c r="B441" s="1826" t="s">
        <v>986</v>
      </c>
      <c r="C441" s="1762"/>
      <c r="D441" s="1761">
        <v>0</v>
      </c>
      <c r="E441" s="1934">
        <f>+G433</f>
        <v>777.75702490151002</v>
      </c>
      <c r="F441" s="1900">
        <v>0</v>
      </c>
      <c r="G441" s="1551">
        <v>0</v>
      </c>
      <c r="H441" s="1817">
        <v>0</v>
      </c>
    </row>
    <row r="442" spans="2:9" ht="18">
      <c r="B442" s="1826" t="s">
        <v>987</v>
      </c>
      <c r="C442" s="1762"/>
      <c r="D442" s="1761">
        <v>0</v>
      </c>
      <c r="E442" s="1584">
        <v>0</v>
      </c>
      <c r="F442" s="1551">
        <v>0</v>
      </c>
      <c r="G442" s="1551">
        <v>0</v>
      </c>
      <c r="H442" s="1817">
        <v>0</v>
      </c>
    </row>
    <row r="443" spans="2:9" ht="18">
      <c r="B443" s="1826" t="s">
        <v>988</v>
      </c>
      <c r="C443" s="1762"/>
      <c r="D443" s="1761">
        <v>0</v>
      </c>
      <c r="E443" s="1585">
        <v>0</v>
      </c>
      <c r="F443" s="1551">
        <v>0</v>
      </c>
      <c r="G443" s="1551">
        <v>0</v>
      </c>
      <c r="H443" s="1817">
        <v>0</v>
      </c>
    </row>
    <row r="444" spans="2:9" ht="18">
      <c r="B444" s="1827"/>
      <c r="C444" s="1794"/>
      <c r="D444" s="1792"/>
      <c r="E444" s="1792"/>
      <c r="F444" s="1769"/>
      <c r="G444" s="1793"/>
      <c r="H444" s="1251"/>
    </row>
    <row r="445" spans="2:9" ht="18">
      <c r="B445" s="2173" t="s">
        <v>532</v>
      </c>
      <c r="C445" s="2177"/>
      <c r="D445" s="2179" t="s">
        <v>916</v>
      </c>
      <c r="E445" s="2180"/>
      <c r="F445" s="2180"/>
      <c r="G445" s="2180"/>
      <c r="H445" s="2181"/>
    </row>
    <row r="446" spans="2:9" ht="18">
      <c r="B446" s="2173"/>
      <c r="C446" s="2178"/>
      <c r="D446" s="1760" t="s">
        <v>989</v>
      </c>
      <c r="E446" s="1549" t="s">
        <v>907</v>
      </c>
      <c r="F446" s="1550" t="s">
        <v>908</v>
      </c>
      <c r="G446" s="1548" t="s">
        <v>909</v>
      </c>
      <c r="H446" s="1791" t="s">
        <v>909</v>
      </c>
    </row>
    <row r="447" spans="2:9" ht="18">
      <c r="B447" s="1826" t="s">
        <v>985</v>
      </c>
      <c r="C447" s="1762"/>
      <c r="D447" s="1761">
        <v>0</v>
      </c>
      <c r="E447" s="1900">
        <f>25362945.7/A1</f>
        <v>253.629457</v>
      </c>
      <c r="F447" s="1551">
        <v>0</v>
      </c>
      <c r="G447" s="1551">
        <v>0</v>
      </c>
      <c r="H447" s="1817">
        <v>0</v>
      </c>
    </row>
    <row r="448" spans="2:9" ht="18">
      <c r="B448" s="1826" t="s">
        <v>986</v>
      </c>
      <c r="C448" s="1762"/>
      <c r="D448" s="1761">
        <v>0</v>
      </c>
      <c r="E448" s="1900">
        <f>61993533.14/A1</f>
        <v>619.9353314</v>
      </c>
      <c r="F448" s="1551">
        <v>0</v>
      </c>
      <c r="G448" s="1551">
        <v>0</v>
      </c>
      <c r="H448" s="1817">
        <v>0</v>
      </c>
    </row>
    <row r="449" spans="2:9" ht="18">
      <c r="B449" s="1826" t="s">
        <v>987</v>
      </c>
      <c r="C449" s="1762"/>
      <c r="D449" s="1761">
        <v>0</v>
      </c>
      <c r="E449" s="1551">
        <v>0</v>
      </c>
      <c r="F449" s="1551">
        <v>0</v>
      </c>
      <c r="G449" s="1551">
        <v>0</v>
      </c>
      <c r="H449" s="1817">
        <v>0</v>
      </c>
    </row>
    <row r="450" spans="2:9" ht="18">
      <c r="B450" s="1826" t="s">
        <v>988</v>
      </c>
      <c r="C450" s="1762"/>
      <c r="D450" s="1761">
        <v>0</v>
      </c>
      <c r="E450" s="1551">
        <v>0</v>
      </c>
      <c r="F450" s="1551">
        <v>0</v>
      </c>
      <c r="G450" s="1551">
        <v>0</v>
      </c>
      <c r="H450" s="1817">
        <v>0</v>
      </c>
    </row>
    <row r="451" spans="2:9" ht="18">
      <c r="B451" s="1364"/>
      <c r="C451" s="2033"/>
      <c r="D451" s="2033"/>
      <c r="E451" s="2033"/>
      <c r="F451" s="2033"/>
      <c r="G451" s="2033"/>
      <c r="H451" s="1365"/>
    </row>
    <row r="452" spans="2:9" ht="36.75" customHeight="1">
      <c r="B452" s="2275" t="s">
        <v>990</v>
      </c>
      <c r="C452" s="2276"/>
      <c r="D452" s="2276"/>
      <c r="E452" s="2276"/>
      <c r="F452" s="2276"/>
      <c r="G452" s="1535" t="s">
        <v>991</v>
      </c>
      <c r="H452" s="1536" t="s">
        <v>992</v>
      </c>
    </row>
    <row r="453" spans="2:9" ht="18">
      <c r="B453" s="2163" t="s">
        <v>993</v>
      </c>
      <c r="C453" s="2164"/>
      <c r="D453" s="2164"/>
      <c r="E453" s="2164"/>
      <c r="F453" s="2165"/>
      <c r="G453" s="1935">
        <f>+BSPL!G439/A1</f>
        <v>7.7153</v>
      </c>
      <c r="H453" s="1538">
        <f>+H432</f>
        <v>0</v>
      </c>
    </row>
    <row r="454" spans="2:9" ht="18">
      <c r="B454" s="2163" t="s">
        <v>994</v>
      </c>
      <c r="C454" s="2164"/>
      <c r="D454" s="2164"/>
      <c r="E454" s="2164"/>
      <c r="F454" s="2165"/>
      <c r="G454" s="1539">
        <v>0</v>
      </c>
      <c r="H454" s="1540">
        <v>0</v>
      </c>
    </row>
    <row r="455" spans="2:9" ht="18">
      <c r="B455" s="1828"/>
      <c r="C455" s="1541"/>
      <c r="D455" s="1541"/>
      <c r="E455" s="1541"/>
      <c r="F455" s="1542"/>
      <c r="G455" s="1539"/>
      <c r="H455" s="1540"/>
    </row>
    <row r="456" spans="2:9" ht="59.25" customHeight="1">
      <c r="B456" s="2166" t="s">
        <v>2933</v>
      </c>
      <c r="C456" s="2167"/>
      <c r="D456" s="2167"/>
      <c r="E456" s="2167"/>
      <c r="F456" s="2167"/>
      <c r="G456" s="1586">
        <v>0</v>
      </c>
      <c r="H456" s="1829">
        <v>0</v>
      </c>
    </row>
    <row r="457" spans="2:9" ht="58.5" customHeight="1">
      <c r="B457" s="2166" t="s">
        <v>2934</v>
      </c>
      <c r="C457" s="2167"/>
      <c r="D457" s="2167"/>
      <c r="E457" s="2167"/>
      <c r="F457" s="2167"/>
      <c r="G457" s="1586">
        <v>0</v>
      </c>
      <c r="H457" s="1829">
        <v>0</v>
      </c>
    </row>
    <row r="458" spans="2:9" ht="39.75" customHeight="1">
      <c r="B458" s="2166" t="s">
        <v>995</v>
      </c>
      <c r="C458" s="2167"/>
      <c r="D458" s="2167"/>
      <c r="E458" s="2167"/>
      <c r="F458" s="2167"/>
      <c r="G458" s="1586">
        <v>0</v>
      </c>
      <c r="H458" s="1829">
        <v>0</v>
      </c>
    </row>
    <row r="459" spans="2:9" ht="78.75" customHeight="1" thickBot="1">
      <c r="B459" s="2153" t="s">
        <v>996</v>
      </c>
      <c r="C459" s="2154"/>
      <c r="D459" s="2154"/>
      <c r="E459" s="2154"/>
      <c r="F459" s="2154"/>
      <c r="G459" s="1587">
        <v>0</v>
      </c>
      <c r="H459" s="1588">
        <v>0</v>
      </c>
    </row>
    <row r="460" spans="2:9" ht="18">
      <c r="B460" s="2102" t="s">
        <v>785</v>
      </c>
      <c r="C460" s="2103"/>
      <c r="D460" s="2103"/>
      <c r="E460" s="2103"/>
      <c r="F460" s="2103"/>
      <c r="G460" s="2103"/>
      <c r="H460" s="2104"/>
      <c r="I460" s="768"/>
    </row>
    <row r="461" spans="2:9" ht="18">
      <c r="B461" s="2124" t="s">
        <v>2241</v>
      </c>
      <c r="C461" s="2125"/>
      <c r="D461" s="2125"/>
      <c r="E461" s="2125"/>
      <c r="F461" s="2125"/>
      <c r="G461" s="2125"/>
      <c r="H461" s="2126"/>
      <c r="I461" s="768"/>
    </row>
    <row r="462" spans="2:9" ht="18">
      <c r="B462" s="1422"/>
      <c r="C462" s="1952"/>
      <c r="D462" s="1952"/>
      <c r="E462" s="1952"/>
      <c r="F462" s="1952"/>
      <c r="G462" s="2106" t="s">
        <v>3123</v>
      </c>
      <c r="H462" s="2107"/>
      <c r="I462" s="768"/>
    </row>
    <row r="463" spans="2:9" ht="18">
      <c r="B463" s="1287" t="s">
        <v>0</v>
      </c>
      <c r="C463" s="1288"/>
      <c r="D463" s="1288"/>
      <c r="E463" s="1288"/>
      <c r="F463" s="1581"/>
      <c r="G463" s="1237" t="s">
        <v>788</v>
      </c>
      <c r="H463" s="1238" t="s">
        <v>788</v>
      </c>
    </row>
    <row r="464" spans="2:9" ht="18">
      <c r="B464" s="1269"/>
      <c r="C464" s="55"/>
      <c r="D464" s="55"/>
      <c r="E464" s="55"/>
      <c r="F464" s="56"/>
      <c r="G464" s="41" t="str">
        <f>+G397</f>
        <v>March 31, 2023 (₹)</v>
      </c>
      <c r="H464" s="1272" t="str">
        <f>+H397</f>
        <v>March 31, 2022 (₹)</v>
      </c>
    </row>
    <row r="465" spans="2:14" ht="18">
      <c r="B465" s="1318"/>
      <c r="C465" s="2041"/>
      <c r="D465" s="2041"/>
      <c r="E465" s="2041"/>
      <c r="F465" s="1959"/>
      <c r="G465" s="59"/>
      <c r="H465" s="1293"/>
    </row>
    <row r="466" spans="2:14" ht="18">
      <c r="B466" s="1318"/>
      <c r="C466" s="2041"/>
      <c r="D466" s="2041"/>
      <c r="E466" s="2041"/>
      <c r="F466" s="1959"/>
      <c r="G466" s="59"/>
      <c r="H466" s="1293"/>
    </row>
    <row r="467" spans="2:14" ht="18">
      <c r="B467" s="1325" t="s">
        <v>2805</v>
      </c>
      <c r="C467" s="73"/>
      <c r="D467" s="73"/>
      <c r="E467" s="73"/>
      <c r="F467" s="1959"/>
      <c r="G467" s="59"/>
      <c r="H467" s="1293"/>
    </row>
    <row r="468" spans="2:14" ht="18">
      <c r="B468" s="1318"/>
      <c r="C468" s="2040"/>
      <c r="D468" s="2040"/>
      <c r="E468" s="2040"/>
      <c r="F468" s="1959"/>
      <c r="G468" s="59"/>
      <c r="H468" s="1293"/>
    </row>
    <row r="469" spans="2:14" ht="18">
      <c r="B469" s="1318" t="s">
        <v>2393</v>
      </c>
      <c r="C469" s="2040"/>
      <c r="D469" s="2040"/>
      <c r="E469" s="2040"/>
      <c r="F469" s="1959"/>
      <c r="G469" s="1857">
        <f>+(GETPIVOTDATA("Sum of Cr. Final 22-23",Pivot!$A$3,"Note",,"BS Main Head","Other Current Liabilities","BS Sub Head","Trade Payables for capital goods")-GETPIVOTDATA("Sum of Dr. Final 22-23",Pivot!$A$3,"Note",,"BS Main Head","Other Current Liabilities","BS Sub Head","Trade Payables for capital goods"))/A1</f>
        <v>53.101669999999999</v>
      </c>
      <c r="H469" s="1858">
        <v>0</v>
      </c>
      <c r="K469" s="504"/>
      <c r="L469" s="504"/>
      <c r="M469" s="504"/>
      <c r="N469" s="504"/>
    </row>
    <row r="470" spans="2:14" ht="18">
      <c r="B470" s="1316" t="s">
        <v>369</v>
      </c>
      <c r="C470" s="2040"/>
      <c r="D470" s="2040"/>
      <c r="E470" s="2040"/>
      <c r="F470" s="93"/>
      <c r="G470" s="1857">
        <f>+(GETPIVOTDATA("Sum of Cr. Final 22-23",Pivot!$A$3,"Note",18,"BS Main Head","Other Financial Liabilities - Current","BS Sub Head","Employee Payables"))/A1</f>
        <v>10.874409999999999</v>
      </c>
      <c r="H470" s="1858">
        <f>+(GETPIVOTDATA("Sum of Cr. Final 21-22",Pivot!$A$3,"Note",18,"BS Main Head","Other Financial Liabilities - Current","BS Sub Head","Employee Payables"))/A1</f>
        <v>11.52229</v>
      </c>
      <c r="I470" s="767"/>
    </row>
    <row r="471" spans="2:14" ht="18">
      <c r="B471" s="1368"/>
      <c r="C471" s="2040"/>
      <c r="D471" s="2040"/>
      <c r="E471" s="2040"/>
      <c r="F471" s="1959"/>
      <c r="G471" s="1869">
        <f>+SUM(G469:G470)</f>
        <v>63.976079999999996</v>
      </c>
      <c r="H471" s="1870">
        <f>+SUM(H469:H470)</f>
        <v>11.52229</v>
      </c>
      <c r="I471" s="767"/>
    </row>
    <row r="472" spans="2:14" ht="18">
      <c r="B472" s="1325" t="s">
        <v>2806</v>
      </c>
      <c r="C472" s="2040"/>
      <c r="D472" s="2040"/>
      <c r="E472" s="2040"/>
      <c r="F472" s="1959"/>
      <c r="G472" s="59"/>
      <c r="H472" s="1293"/>
    </row>
    <row r="473" spans="2:14" ht="18">
      <c r="B473" s="1369" t="s">
        <v>96</v>
      </c>
      <c r="C473" s="2040"/>
      <c r="D473" s="2040"/>
      <c r="E473" s="2040"/>
      <c r="F473" s="1959"/>
      <c r="G473" s="1857">
        <f>+(GETPIVOTDATA("Sum of Cr. Final 22-23",Pivot!$A$3,"Note",19,"BS Main Head","Other Current Liabilities","BS Sub Head","GST")-GETPIVOTDATA("Sum of Dr. Final 22-23",Pivot!$A$3,"Note",19,"BS Main Head","Other Current Liabilities","BS Sub Head","GST"))/A1</f>
        <v>16.48919999999999</v>
      </c>
      <c r="H473" s="1858">
        <f>+(GETPIVOTDATA("Sum of Cr. Final 21-22",Pivot!$A$3,"Note",19,"BS Main Head","Other Current Liabilities","BS Sub Head","GST")-GETPIVOTDATA("Sum of Dr. Final 21-22",Pivot!$A$3,"Note",19,"BS Main Head","Other Current Liabilities","BS Sub Head","GST"))/A1</f>
        <v>59.658167399999996</v>
      </c>
    </row>
    <row r="474" spans="2:14" ht="18">
      <c r="B474" s="1370" t="s">
        <v>114</v>
      </c>
      <c r="C474" s="2040"/>
      <c r="D474" s="2040"/>
      <c r="E474" s="2040"/>
      <c r="F474" s="93"/>
      <c r="G474" s="1857">
        <f>+(GETPIVOTDATA("Sum of Cr. Final 22-23",Pivot!$A$3,"PARTICULARS","Professional Tax Payable","Note",19,"BS Main Head","Other Current Liabilities","BS Sub Head","Profession Tax")+GETPIVOTDATA("Sum of Cr. Final 22-23",Pivot!$A$3,"Note",19,"BS Main Head","Other Current Liabilities","BS Sub Head","Statutory Dues"))/A1</f>
        <v>6.6361185999999996</v>
      </c>
      <c r="H474" s="1858">
        <f>+(GETPIVOTDATA("Sum of Cr. Final 21-22",Pivot!$A$3,"Note",19,"BS Main Head","Other Current Liabilities","BS Sub Head","Statutory Dues")-GETPIVOTDATA("Sum of Dr. Final 21-22",Pivot!$A$3,"Note",19,"BS Main Head","Other Current Liabilities","BS Sub Head","Statutory Dues"))/A1</f>
        <v>6.0255326</v>
      </c>
    </row>
    <row r="475" spans="2:14" ht="18">
      <c r="B475" s="1368"/>
      <c r="C475" s="2040"/>
      <c r="D475" s="2040"/>
      <c r="E475" s="2040"/>
      <c r="F475" s="1959"/>
      <c r="G475" s="1869">
        <f>+SUM(G473:G474)</f>
        <v>23.125318599999989</v>
      </c>
      <c r="H475" s="1870">
        <f>+SUM(H473+H474)</f>
        <v>65.683700000000002</v>
      </c>
    </row>
    <row r="476" spans="2:14" ht="18">
      <c r="B476" s="1325" t="s">
        <v>2807</v>
      </c>
      <c r="C476" s="2040"/>
      <c r="D476" s="2040"/>
      <c r="E476" s="2040"/>
      <c r="F476" s="1959"/>
      <c r="G476" s="59"/>
      <c r="H476" s="1293"/>
    </row>
    <row r="477" spans="2:14" ht="18">
      <c r="B477" s="1369"/>
      <c r="C477" s="2040"/>
      <c r="D477" s="2040"/>
      <c r="E477" s="2040"/>
      <c r="F477" s="1959"/>
      <c r="G477" s="59"/>
      <c r="H477" s="1293"/>
    </row>
    <row r="478" spans="2:14" ht="18">
      <c r="B478" s="1363" t="s">
        <v>1001</v>
      </c>
      <c r="C478" s="2042"/>
      <c r="D478" s="2042"/>
      <c r="E478" s="2042"/>
      <c r="F478" s="75"/>
      <c r="G478" s="1857">
        <f>+(GETPIVOTDATA("Sum of Cr. Final 22-23",Pivot!$A$3,"Note",20,"BS Main Head","Short Term Provisions")-GETPIVOTDATA("Sum of Dr. Final 22-23",Pivot!$A$3,"Note",20,"BS Main Head","Short Term Provisions"))/A1</f>
        <v>2.3327499999999999</v>
      </c>
      <c r="H478" s="1858">
        <f>+(GETPIVOTDATA("Sum of Cr. Final 21-22",Pivot!$A$3,"Note",20,"BS Main Head","Short Term Provisions")-GETPIVOTDATA("Sum of Dr. Final 21-22",Pivot!$A$3,"Note",20,"BS Main Head","Short Term Provisions"))/A1</f>
        <v>17.080159999999999</v>
      </c>
    </row>
    <row r="479" spans="2:14" ht="18">
      <c r="B479" s="1363" t="s">
        <v>1002</v>
      </c>
      <c r="C479" s="2042"/>
      <c r="D479" s="2042"/>
      <c r="E479" s="2042"/>
      <c r="F479" s="75"/>
      <c r="G479" s="1863">
        <f>1776300/A1</f>
        <v>17.763000000000002</v>
      </c>
      <c r="H479" s="1281">
        <f>1702520/A1</f>
        <v>17.025200000000002</v>
      </c>
    </row>
    <row r="480" spans="2:14" ht="18">
      <c r="B480" s="1368"/>
      <c r="C480" s="2040"/>
      <c r="D480" s="2040"/>
      <c r="E480" s="2040"/>
      <c r="F480" s="1959"/>
      <c r="G480" s="1864">
        <f>+SUM(G477:G479)</f>
        <v>20.095750000000002</v>
      </c>
      <c r="H480" s="1865">
        <f>+SUM(H477:H479)</f>
        <v>34.105360000000005</v>
      </c>
    </row>
    <row r="481" spans="2:15" ht="18">
      <c r="B481" s="1325" t="s">
        <v>2808</v>
      </c>
      <c r="C481" s="35"/>
      <c r="D481" s="35"/>
      <c r="E481" s="35"/>
      <c r="F481" s="2014"/>
      <c r="G481" s="525"/>
      <c r="H481" s="1866"/>
    </row>
    <row r="482" spans="2:15" ht="18">
      <c r="B482" s="1315" t="s">
        <v>1003</v>
      </c>
      <c r="C482" s="35"/>
      <c r="D482" s="35"/>
      <c r="E482" s="35"/>
      <c r="F482" s="2014"/>
      <c r="G482" s="525"/>
      <c r="H482" s="1866"/>
    </row>
    <row r="483" spans="2:15" ht="18">
      <c r="B483" s="1371" t="s">
        <v>1004</v>
      </c>
      <c r="C483" s="35"/>
      <c r="D483" s="35"/>
      <c r="E483" s="35"/>
      <c r="F483" s="2014"/>
      <c r="G483" s="103">
        <f>+(GETPIVOTDATA("Sum of Cr. Final 22-23",Pivot!$A$3,"Note",21,"BS Main Head","Revenue From Operations","BS Sub Head","Sale of Goods - Manufacturing Sales")-GETPIVOTDATA("Sum of Dr. Final 22-23",Pivot!$A$3,"Note",21,"BS Main Head","Revenue From Operations","BS Sub Head","Sale of Goods - Manufacturing Sales"))/A1</f>
        <v>10428.742024200001</v>
      </c>
      <c r="H483" s="1377">
        <f>1114588510.75/A1</f>
        <v>11145.8851075</v>
      </c>
    </row>
    <row r="484" spans="2:15" ht="18">
      <c r="B484" s="1372"/>
      <c r="C484" s="35"/>
      <c r="D484" s="35"/>
      <c r="E484" s="35"/>
      <c r="F484" s="2014"/>
      <c r="G484" s="1861"/>
      <c r="H484" s="1862"/>
    </row>
    <row r="485" spans="2:15" ht="18">
      <c r="B485" s="1373" t="s">
        <v>1005</v>
      </c>
      <c r="C485" s="35"/>
      <c r="D485" s="35"/>
      <c r="E485" s="35"/>
      <c r="F485" s="2014"/>
      <c r="G485" s="525"/>
      <c r="H485" s="1866"/>
    </row>
    <row r="486" spans="2:15" ht="18">
      <c r="B486" s="1372" t="s">
        <v>1006</v>
      </c>
      <c r="C486" s="35"/>
      <c r="D486" s="35"/>
      <c r="E486" s="35"/>
      <c r="F486" s="2014"/>
      <c r="G486" s="1863">
        <f>+GETPIVOTDATA("Sum of Cr. Final 22-23",Pivot!$A$3,"Note",21,"BS Main Head","Revenue From Operations","BS Sub Head","PSI Subsidy")/A1</f>
        <v>94.435000000000002</v>
      </c>
      <c r="H486" s="1281">
        <f>9433000/A1</f>
        <v>94.33</v>
      </c>
    </row>
    <row r="487" spans="2:15" ht="18">
      <c r="B487" s="1374"/>
      <c r="C487" s="35"/>
      <c r="D487" s="35"/>
      <c r="E487" s="35"/>
      <c r="F487" s="2014"/>
      <c r="G487" s="525"/>
      <c r="H487" s="1866"/>
    </row>
    <row r="488" spans="2:15" ht="18">
      <c r="B488" s="1283"/>
      <c r="C488" s="35"/>
      <c r="D488" s="35"/>
      <c r="E488" s="35"/>
      <c r="F488" s="2014"/>
      <c r="G488" s="1869">
        <f>+G483+G486</f>
        <v>10523.1770242</v>
      </c>
      <c r="H488" s="1869">
        <f>+H483+H486</f>
        <v>11240.2151075</v>
      </c>
    </row>
    <row r="489" spans="2:15" ht="18">
      <c r="B489" s="1310" t="s">
        <v>2809</v>
      </c>
      <c r="C489" s="35"/>
      <c r="D489" s="35"/>
      <c r="E489" s="35"/>
      <c r="F489" s="1959"/>
      <c r="G489" s="59"/>
      <c r="H489" s="1293"/>
      <c r="J489" t="s">
        <v>2791</v>
      </c>
    </row>
    <row r="490" spans="2:15" ht="18">
      <c r="B490" s="1297" t="s">
        <v>1007</v>
      </c>
      <c r="C490" s="34"/>
      <c r="D490" s="34"/>
      <c r="E490" s="34"/>
      <c r="F490" s="1959"/>
      <c r="G490" s="1857">
        <f>+GETPIVOTDATA("Sum of Cr. Final 22-23",Pivot!$A$3,"Note",22,"BS Main Head","Other Income","BS Sub Head","Foreign Exchange Fluctuation Gain on RM")/A1</f>
        <v>8.8916766984900093</v>
      </c>
      <c r="H490" s="1858">
        <f>1231216/A1</f>
        <v>12.31216</v>
      </c>
      <c r="J490" s="1081" t="s">
        <v>2792</v>
      </c>
      <c r="K490" s="1082" t="s">
        <v>2793</v>
      </c>
      <c r="L490" s="1082" t="s">
        <v>2730</v>
      </c>
      <c r="M490" s="1082" t="s">
        <v>2794</v>
      </c>
      <c r="N490" s="1082" t="s">
        <v>2796</v>
      </c>
      <c r="O490" s="1082" t="s">
        <v>2795</v>
      </c>
    </row>
    <row r="491" spans="2:15" ht="18">
      <c r="B491" s="1297" t="s">
        <v>1008</v>
      </c>
      <c r="C491" s="34"/>
      <c r="D491" s="34"/>
      <c r="E491" s="34"/>
      <c r="F491" s="1959"/>
      <c r="G491" s="1857">
        <f>+GETPIVOTDATA("Sum of Cr. Final 22-23",Pivot!$A$3,"Note",22,"BS Main Head","Other Income","BS Sub Head","Interest Received")/A1</f>
        <v>2.0214539</v>
      </c>
      <c r="H491" s="1858">
        <f>160002.61/A1</f>
        <v>1.6000260999999998</v>
      </c>
      <c r="J491" s="1081" t="s">
        <v>42</v>
      </c>
      <c r="K491" s="1082">
        <f>+N902</f>
        <v>46366.25</v>
      </c>
      <c r="L491" s="1083">
        <v>82.216899999999995</v>
      </c>
      <c r="M491" s="1082">
        <f>+K491*L491</f>
        <v>3812089.3396249996</v>
      </c>
      <c r="N491" s="1082">
        <v>3880855</v>
      </c>
      <c r="O491" s="1084">
        <f>+N491-M491</f>
        <v>68765.660375000443</v>
      </c>
    </row>
    <row r="492" spans="2:15" ht="18">
      <c r="B492" s="1297"/>
      <c r="C492" s="34"/>
      <c r="D492" s="34"/>
      <c r="E492" s="34"/>
      <c r="F492" s="1959"/>
      <c r="G492" s="1869">
        <f>+SUM(G490:G491)</f>
        <v>10.91313059849001</v>
      </c>
      <c r="H492" s="1870">
        <f>+SUM(H490:H491)</f>
        <v>13.9121861</v>
      </c>
      <c r="J492" s="1081" t="s">
        <v>41</v>
      </c>
      <c r="K492" s="1082">
        <f>+N903</f>
        <v>13063.24</v>
      </c>
      <c r="L492" s="1083">
        <v>82.216899999999995</v>
      </c>
      <c r="M492" s="1082">
        <f t="shared" ref="M492:M494" si="8">+K492*L492</f>
        <v>1074019.0967559998</v>
      </c>
      <c r="N492" s="1082">
        <v>1093393</v>
      </c>
      <c r="O492" s="1084">
        <f t="shared" ref="O492:O494" si="9">+N492-M492</f>
        <v>19373.903244000161</v>
      </c>
    </row>
    <row r="493" spans="2:15" ht="18">
      <c r="B493" s="1310" t="s">
        <v>2810</v>
      </c>
      <c r="C493" s="68"/>
      <c r="D493" s="68"/>
      <c r="E493" s="68"/>
      <c r="F493" s="1959"/>
      <c r="G493" s="59"/>
      <c r="H493" s="1293"/>
      <c r="J493" s="1081" t="s">
        <v>537</v>
      </c>
      <c r="K493" s="1082">
        <f>+N904</f>
        <v>24291.3</v>
      </c>
      <c r="L493" s="1083">
        <v>82.216899999999995</v>
      </c>
      <c r="M493" s="1082">
        <f t="shared" si="8"/>
        <v>1997155.3829699999</v>
      </c>
      <c r="N493" s="1082">
        <v>2033181</v>
      </c>
      <c r="O493" s="1084">
        <f t="shared" si="9"/>
        <v>36025.617030000081</v>
      </c>
    </row>
    <row r="494" spans="2:15" ht="18">
      <c r="B494" s="1297" t="s">
        <v>282</v>
      </c>
      <c r="C494" s="34"/>
      <c r="D494" s="34"/>
      <c r="E494" s="34"/>
      <c r="F494" s="1959"/>
      <c r="G494" s="1857">
        <f>+H497</f>
        <v>234.99723</v>
      </c>
      <c r="H494" s="1858">
        <f>41971585.5/A1</f>
        <v>419.71585499999998</v>
      </c>
      <c r="J494" s="1081" t="s">
        <v>615</v>
      </c>
      <c r="K494" s="1082">
        <f>+N905</f>
        <v>45332</v>
      </c>
      <c r="L494" s="1083">
        <v>82.216899999999995</v>
      </c>
      <c r="M494" s="1082">
        <f t="shared" si="8"/>
        <v>3727056.5107999998</v>
      </c>
      <c r="N494" s="1082">
        <v>3794288</v>
      </c>
      <c r="O494" s="1084">
        <f t="shared" si="9"/>
        <v>67231.489200000186</v>
      </c>
    </row>
    <row r="495" spans="2:15" ht="18">
      <c r="B495" s="1297" t="s">
        <v>1009</v>
      </c>
      <c r="C495" s="34"/>
      <c r="D495" s="34"/>
      <c r="E495" s="34"/>
      <c r="F495" s="75"/>
      <c r="G495" s="1859">
        <f>+GETPIVOTDATA("Sum of Dr. Final 22-23",Pivot!$A$3,"Note",23,"BS Main Head","Raw Material Consumed","BS Sub Head","Raw Material Purchase")/A1</f>
        <v>8261.7471549999991</v>
      </c>
      <c r="H495" s="1860">
        <f>848470297.8/A1</f>
        <v>8484.7029779999993</v>
      </c>
      <c r="J495" s="1081"/>
      <c r="K495" s="1082"/>
      <c r="L495" s="1082"/>
      <c r="M495" s="1082"/>
      <c r="N495" s="1082"/>
      <c r="O495" s="1084">
        <f>SUM(O491:O494)</f>
        <v>191396.66984900087</v>
      </c>
    </row>
    <row r="496" spans="2:15" ht="18">
      <c r="B496" s="1297"/>
      <c r="C496" s="34"/>
      <c r="D496" s="34"/>
      <c r="E496" s="34"/>
      <c r="F496" s="1959"/>
      <c r="G496" s="1861">
        <f>+SUM(G494:G495)</f>
        <v>8496.744385</v>
      </c>
      <c r="H496" s="1862">
        <f>+SUM(H494:H495)</f>
        <v>8904.4188329999997</v>
      </c>
    </row>
    <row r="497" spans="2:14" ht="18">
      <c r="B497" s="1297" t="s">
        <v>1010</v>
      </c>
      <c r="C497" s="34"/>
      <c r="D497" s="34"/>
      <c r="E497" s="34"/>
      <c r="F497" s="32"/>
      <c r="G497" s="1857">
        <f>+('CLOSING STOCK 22-23'!P23+'CLOSING STOCK 22-23'!P27)/A1</f>
        <v>345.50732833638398</v>
      </c>
      <c r="H497" s="1858">
        <f>(14050975+6473500+2975248)/A1</f>
        <v>234.99723</v>
      </c>
    </row>
    <row r="498" spans="2:14" ht="18">
      <c r="B498" s="1297"/>
      <c r="C498" s="94"/>
      <c r="D498" s="94"/>
      <c r="E498" s="94"/>
      <c r="F498" s="94"/>
      <c r="G498" s="1869">
        <f>+G496-G497</f>
        <v>8151.2370566636164</v>
      </c>
      <c r="H498" s="1870">
        <f>+H496-H497</f>
        <v>8669.4216029999989</v>
      </c>
    </row>
    <row r="499" spans="2:14" ht="18">
      <c r="B499" s="1310" t="s">
        <v>2811</v>
      </c>
      <c r="C499" s="68"/>
      <c r="D499" s="68"/>
      <c r="E499" s="68"/>
      <c r="F499" s="2043"/>
      <c r="G499" s="58"/>
      <c r="H499" s="1292"/>
    </row>
    <row r="500" spans="2:14" ht="18">
      <c r="B500" s="1297" t="s">
        <v>282</v>
      </c>
      <c r="C500" s="34"/>
      <c r="D500" s="34"/>
      <c r="E500" s="34"/>
      <c r="F500" s="1959"/>
      <c r="G500" s="1857">
        <f>+H501</f>
        <v>170.88292000000001</v>
      </c>
      <c r="H500" s="1858">
        <f>16099811.7178893/A1</f>
        <v>160.99811717889298</v>
      </c>
    </row>
    <row r="501" spans="2:14" ht="18">
      <c r="B501" s="1297" t="s">
        <v>1011</v>
      </c>
      <c r="C501" s="34"/>
      <c r="D501" s="34"/>
      <c r="E501" s="34"/>
      <c r="F501" s="32"/>
      <c r="G501" s="1857">
        <f>+'CLOSING STOCK 22-23'!P35/A1</f>
        <v>164.65226999999999</v>
      </c>
      <c r="H501" s="1858">
        <f>17088292/A1</f>
        <v>170.88292000000001</v>
      </c>
    </row>
    <row r="502" spans="2:14" ht="18">
      <c r="B502" s="1297"/>
      <c r="C502" s="34"/>
      <c r="D502" s="34"/>
      <c r="E502" s="34"/>
      <c r="F502" s="1959"/>
      <c r="G502" s="1869">
        <f>+G500-G501</f>
        <v>6.2306500000000256</v>
      </c>
      <c r="H502" s="1870">
        <f>+H500-H501</f>
        <v>-9.88480282110703</v>
      </c>
    </row>
    <row r="503" spans="2:14" ht="18">
      <c r="B503" s="1310" t="s">
        <v>2812</v>
      </c>
      <c r="C503" s="68"/>
      <c r="D503" s="68"/>
      <c r="E503" s="68"/>
      <c r="F503" s="1959"/>
      <c r="G503" s="59"/>
      <c r="H503" s="1293"/>
    </row>
    <row r="504" spans="2:14" ht="18">
      <c r="B504" s="1297" t="s">
        <v>156</v>
      </c>
      <c r="C504" s="34"/>
      <c r="D504" s="34"/>
      <c r="E504" s="34"/>
      <c r="F504" s="31"/>
      <c r="G504" s="1857">
        <f>+(GETPIVOTDATA("Sum of Dr. Final 22-23",Pivot!$A$3,"Note",25,"BS Main Head","Employee Benefit Expenses","BS Sub Head","Salary &amp; Wages")-GETPIVOTDATA("Sum of Cr. Final 22-23",Pivot!$A$3,"Note",25,"BS Main Head","Employee Benefit Expenses","BS Sub Head","Salary &amp; Wages"))/A1</f>
        <v>158.62269000000001</v>
      </c>
      <c r="H504" s="1858">
        <f>21904975/A1</f>
        <v>219.04974999999999</v>
      </c>
    </row>
    <row r="505" spans="2:14" ht="18">
      <c r="B505" s="1297" t="s">
        <v>172</v>
      </c>
      <c r="C505" s="34"/>
      <c r="D505" s="34"/>
      <c r="E505" s="34"/>
      <c r="F505" s="1959"/>
      <c r="G505" s="1857">
        <f>+GETPIVOTDATA("Sum of Dr. Final 22-23",Pivot!$A$3,"Note",25,"BS Main Head","Employee Benefit Expenses","BS Sub Head","Contribution to Funds")/A1</f>
        <v>24.169429999999998</v>
      </c>
      <c r="H505" s="1858">
        <f>2430498/A1</f>
        <v>24.30498</v>
      </c>
    </row>
    <row r="506" spans="2:14" ht="18">
      <c r="B506" s="1297" t="s">
        <v>270</v>
      </c>
      <c r="C506" s="34"/>
      <c r="D506" s="34"/>
      <c r="E506" s="34"/>
      <c r="F506" s="1959"/>
      <c r="G506" s="1857">
        <f>+GETPIVOTDATA("Sum of Dr. Final 22-23",Pivot!$A$3,"Note",25,"BS Main Head","Employee Benefit Expenses","BS Sub Head","Staff Welfare Expenses")/A1</f>
        <v>1.9452</v>
      </c>
      <c r="H506" s="1858">
        <f>198462/A1</f>
        <v>1.9846200000000001</v>
      </c>
    </row>
    <row r="507" spans="2:14" ht="18">
      <c r="B507" s="1297"/>
      <c r="C507" s="34"/>
      <c r="D507" s="34"/>
      <c r="E507" s="34"/>
      <c r="F507" s="1959"/>
      <c r="G507" s="1869">
        <f>+SUM(G504:G506)</f>
        <v>184.73732000000001</v>
      </c>
      <c r="H507" s="1870">
        <f>+SUM(H504:H506)</f>
        <v>245.33935</v>
      </c>
    </row>
    <row r="508" spans="2:14" ht="18">
      <c r="B508" s="1310" t="s">
        <v>2813</v>
      </c>
      <c r="C508" s="68"/>
      <c r="D508" s="68"/>
      <c r="E508" s="68"/>
      <c r="F508" s="1959"/>
      <c r="G508" s="59"/>
      <c r="H508" s="1293"/>
    </row>
    <row r="509" spans="2:14" ht="18">
      <c r="B509" s="1297" t="s">
        <v>225</v>
      </c>
      <c r="C509" s="34"/>
      <c r="D509" s="34"/>
      <c r="E509" s="34"/>
      <c r="F509" s="2004"/>
      <c r="G509" s="1871">
        <f>+GETPIVOTDATA("Sum of Dr. Final 22-23",Pivot!$A$3,"Note",26,"BS Main Head","Finance Costs","BS Sub Head","Interest Expenses")/A1</f>
        <v>83.898240000000001</v>
      </c>
      <c r="H509" s="1872">
        <f>7344101.15/A1</f>
        <v>73.441011500000002</v>
      </c>
      <c r="J509" t="s">
        <v>992</v>
      </c>
    </row>
    <row r="510" spans="2:14" ht="18">
      <c r="B510" s="1297" t="s">
        <v>1012</v>
      </c>
      <c r="C510" s="34"/>
      <c r="D510" s="34"/>
      <c r="E510" s="34"/>
      <c r="F510" s="1076"/>
      <c r="G510" s="1871">
        <f>+GETPIVOTDATA("Sum of Dr. Final 22-23",Pivot!$A$3,"Note",26,"BS Main Head","Finance Costs","BS Sub Head","Other Borrowing Costs")/A1</f>
        <v>1.97817</v>
      </c>
      <c r="H510" s="1872">
        <f>258852/A1</f>
        <v>2.5885199999999999</v>
      </c>
      <c r="J510" t="s">
        <v>532</v>
      </c>
      <c r="K510" s="3" t="s">
        <v>1213</v>
      </c>
      <c r="L510" s="3" t="s">
        <v>1214</v>
      </c>
      <c r="M510" s="3" t="s">
        <v>1215</v>
      </c>
      <c r="N510" s="3" t="s">
        <v>1216</v>
      </c>
    </row>
    <row r="511" spans="2:14" ht="18">
      <c r="B511" s="1297"/>
      <c r="C511" s="34"/>
      <c r="D511" s="34"/>
      <c r="E511" s="34"/>
      <c r="F511" s="131"/>
      <c r="G511" s="1869">
        <f>+SUM(G509:G510)</f>
        <v>85.876410000000007</v>
      </c>
      <c r="H511" s="1870">
        <f>+SUM(H509:H510)</f>
        <v>76.029531500000004</v>
      </c>
      <c r="J511" t="s">
        <v>1212</v>
      </c>
      <c r="K511" s="3">
        <v>656155</v>
      </c>
      <c r="L511" s="3">
        <f>+GETPIVOTDATA("Sum of Dr. Final 22-23",Pivot!$A$3,"Note",27,"BS Main Head","Other - Manufacturing Expenses","BS Sub Head","Packing Material Purchase")</f>
        <v>10882324.880000001</v>
      </c>
      <c r="M511" s="3">
        <v>548138</v>
      </c>
      <c r="N511" s="3">
        <f>+K511+L511-M511</f>
        <v>10990341.880000001</v>
      </c>
    </row>
    <row r="512" spans="2:14" ht="18" hidden="1">
      <c r="B512" s="1437" t="s">
        <v>0</v>
      </c>
      <c r="C512" s="68"/>
      <c r="D512" s="68"/>
      <c r="E512" s="68"/>
      <c r="F512" s="1959"/>
      <c r="G512" s="1237" t="s">
        <v>788</v>
      </c>
      <c r="H512" s="1238" t="s">
        <v>788</v>
      </c>
    </row>
    <row r="513" spans="1:17" ht="18" hidden="1">
      <c r="B513" s="1286"/>
      <c r="C513" s="82"/>
      <c r="D513" s="82"/>
      <c r="E513" s="82"/>
      <c r="F513" s="95"/>
      <c r="G513" s="41" t="str">
        <f>+G590</f>
        <v>March 31, 2023 (₹)</v>
      </c>
      <c r="H513" s="1272" t="str">
        <f>+H590</f>
        <v>March 31, 2022 (₹)</v>
      </c>
    </row>
    <row r="514" spans="1:17" ht="18">
      <c r="B514" s="1310" t="s">
        <v>2814</v>
      </c>
      <c r="C514" s="35"/>
      <c r="D514" s="35"/>
      <c r="E514" s="35"/>
      <c r="F514" s="1959"/>
      <c r="G514" s="67"/>
      <c r="H514" s="1309"/>
    </row>
    <row r="515" spans="1:17" ht="18">
      <c r="B515" s="1283" t="s">
        <v>1013</v>
      </c>
      <c r="C515" s="35"/>
      <c r="D515" s="35"/>
      <c r="E515" s="35"/>
      <c r="F515" s="1959"/>
      <c r="G515" s="59"/>
      <c r="H515" s="1293"/>
    </row>
    <row r="516" spans="1:17" ht="18">
      <c r="B516" s="1294" t="s">
        <v>78</v>
      </c>
      <c r="C516" s="2004"/>
      <c r="D516" s="2004"/>
      <c r="E516" s="2004"/>
      <c r="F516" s="1959"/>
      <c r="G516" s="1857">
        <f>+GETPIVOTDATA("Sum of Dr. Final 22-23",Pivot!$A$3,"Note",27,"BS Main Head","Other - Manufacturing Expenses","BS Sub Head","Factory Expenses")/A1</f>
        <v>48.471554500000003</v>
      </c>
      <c r="H516" s="1858">
        <f>5119183/A1</f>
        <v>51.191830000000003</v>
      </c>
      <c r="J516" t="s">
        <v>991</v>
      </c>
    </row>
    <row r="517" spans="1:17" ht="18">
      <c r="B517" s="1297" t="s">
        <v>186</v>
      </c>
      <c r="C517" s="34"/>
      <c r="D517" s="34"/>
      <c r="E517" s="34"/>
      <c r="F517" s="1959"/>
      <c r="G517" s="1857">
        <f>+GETPIVOTDATA("Sum of Dr. Final 22-23",Pivot!$A$3,"Note",27,"BS Main Head","Other - Manufacturing Expenses","BS Sub Head","Finished Goods Packing and Allied Charges")/A1</f>
        <v>28.298200000000001</v>
      </c>
      <c r="H517" s="1858">
        <f>3282001/A1</f>
        <v>32.820010000000003</v>
      </c>
      <c r="J517" t="s">
        <v>532</v>
      </c>
      <c r="K517" s="3" t="s">
        <v>1213</v>
      </c>
      <c r="L517" s="3" t="s">
        <v>1214</v>
      </c>
      <c r="M517" s="3" t="s">
        <v>1215</v>
      </c>
      <c r="N517" s="3" t="s">
        <v>1216</v>
      </c>
    </row>
    <row r="518" spans="1:17" ht="18">
      <c r="B518" s="1297" t="s">
        <v>1014</v>
      </c>
      <c r="C518" s="96"/>
      <c r="D518" s="96"/>
      <c r="E518" s="96"/>
      <c r="F518" s="1959"/>
      <c r="G518" s="1857">
        <f>+N518</f>
        <v>109.9034188</v>
      </c>
      <c r="H518" s="1858">
        <f>9075854.22/A1</f>
        <v>90.758542200000008</v>
      </c>
      <c r="J518" t="s">
        <v>1212</v>
      </c>
      <c r="K518" s="3">
        <f>656155/A1</f>
        <v>6.5615500000000004</v>
      </c>
      <c r="L518" s="3">
        <f>+GETPIVOTDATA("Sum of Dr. Final 22-23",Pivot!$A$3,"Note",27,"BS Main Head","Other - Manufacturing Expenses","BS Sub Head","Packing Material Purchase")/A1</f>
        <v>108.8232488</v>
      </c>
      <c r="M518" s="3">
        <f>548138/A1</f>
        <v>5.4813799999999997</v>
      </c>
      <c r="N518" s="3">
        <f>+K518+L518-M518</f>
        <v>109.9034188</v>
      </c>
    </row>
    <row r="519" spans="1:17" ht="18">
      <c r="B519" s="1297" t="s">
        <v>1015</v>
      </c>
      <c r="C519" s="34"/>
      <c r="D519" s="34"/>
      <c r="E519" s="34"/>
      <c r="F519" s="31"/>
      <c r="G519" s="1857">
        <f>+N519</f>
        <v>1843.8638323999999</v>
      </c>
      <c r="H519" s="1858">
        <f>140580439.34/A1</f>
        <v>1405.8043934</v>
      </c>
      <c r="J519" t="s">
        <v>1217</v>
      </c>
      <c r="K519" s="3">
        <f>(1342056+720000)/A1</f>
        <v>20.620560000000001</v>
      </c>
      <c r="L519" s="3">
        <f>+GETPIVOTDATA("Sum of Dr. Final 22-23",Pivot!$A$3,"Note",27,"BS Main Head","Other - Manufacturing Expenses","BS Sub Head","Power and Fuel")/A1</f>
        <v>1844.6721723999999</v>
      </c>
      <c r="M519" s="3">
        <f>2142890/A1</f>
        <v>21.428899999999999</v>
      </c>
      <c r="N519" s="3">
        <f>+K519+L519-M519</f>
        <v>1843.8638323999999</v>
      </c>
    </row>
    <row r="520" spans="1:17" ht="18">
      <c r="B520" s="1297" t="s">
        <v>347</v>
      </c>
      <c r="C520" s="34"/>
      <c r="D520" s="34"/>
      <c r="E520" s="34"/>
      <c r="F520" s="1959"/>
      <c r="G520" s="1857">
        <f>+GETPIVOTDATA("Sum of Dr. Final 22-23",Pivot!$A$3,"Note",27,"BS Main Head","Other - Manufacturing Expenses","BS Sub Head","Raw Material Sorting Charges")/A1</f>
        <v>33.687849999999997</v>
      </c>
      <c r="H520" s="1858">
        <f>4044390/A1</f>
        <v>40.443899999999999</v>
      </c>
      <c r="J520" t="s">
        <v>1218</v>
      </c>
      <c r="K520" s="3">
        <f>8287041/A1</f>
        <v>82.870410000000007</v>
      </c>
      <c r="L520" s="3">
        <f>+GETPIVOTDATA("Sum of Dr. Final 22-23",Pivot!$A$3,"Note",27,"BS Main Head","Other - Manufacturing Expenses","BS Sub Head","Stores &amp; Spares Consumed")/A1</f>
        <v>137.38207939999998</v>
      </c>
      <c r="M520" s="3">
        <f>+'CLOSING STOCK 22-23'!P37/A1</f>
        <v>89.556929999999994</v>
      </c>
      <c r="N520" s="3">
        <f>+K520+L520-M520</f>
        <v>130.69555940000001</v>
      </c>
    </row>
    <row r="521" spans="1:17" ht="18">
      <c r="B521" s="1375" t="s">
        <v>1016</v>
      </c>
      <c r="C521" s="34"/>
      <c r="D521" s="34"/>
      <c r="E521" s="34"/>
      <c r="F521" s="1959"/>
      <c r="G521" s="1857"/>
      <c r="H521" s="1858"/>
    </row>
    <row r="522" spans="1:17" ht="18">
      <c r="B522" s="1297" t="s">
        <v>1017</v>
      </c>
      <c r="C522" s="34"/>
      <c r="D522" s="34"/>
      <c r="E522" s="34"/>
      <c r="F522" s="1959"/>
      <c r="G522" s="1857">
        <f>+GETPIVOTDATA("Sum of Dr. Final 22-23",Pivot!$A$3,"Note",27,"BS Main Head","Other - Manufacturing Expenses","BS Sub Head","Repairs &amp; Maintainence - Machinery")/A1</f>
        <v>68.591740400000006</v>
      </c>
      <c r="H522" s="1858">
        <f>6320421.99/A1</f>
        <v>63.204219900000005</v>
      </c>
    </row>
    <row r="523" spans="1:17" ht="18">
      <c r="B523" s="1297" t="s">
        <v>1018</v>
      </c>
      <c r="C523" s="34"/>
      <c r="D523" s="34"/>
      <c r="E523" s="34"/>
      <c r="F523" s="2004"/>
      <c r="G523" s="1871">
        <f>+GETPIVOTDATA("Sum of Dr. Final 22-23",Pivot!$A$3,"Note",27,"BS Main Head","Other - Manufacturing Expenses","BS Sub Head","Repairs &amp; Maintainence - Building")/A1</f>
        <v>0.9343013</v>
      </c>
      <c r="H523" s="1872">
        <f>49000/A1</f>
        <v>0.49</v>
      </c>
    </row>
    <row r="524" spans="1:17" ht="18">
      <c r="B524" s="1297" t="s">
        <v>380</v>
      </c>
      <c r="C524" s="34"/>
      <c r="D524" s="34"/>
      <c r="E524" s="34"/>
      <c r="F524" s="1959"/>
      <c r="G524" s="1857">
        <f>+GETPIVOTDATA("Sum of Dr. Final 22-23",Pivot!$A$3,"Note",27,"BS Main Head","Other - Manufacturing Expenses","BS Sub Head","Security Service Charges")/A1</f>
        <v>9.0569100000000002</v>
      </c>
      <c r="H524" s="1858">
        <f>783594/A1</f>
        <v>7.8359399999999999</v>
      </c>
    </row>
    <row r="525" spans="1:17" ht="18">
      <c r="B525" s="1297" t="s">
        <v>341</v>
      </c>
      <c r="C525" s="34"/>
      <c r="D525" s="34"/>
      <c r="E525" s="34"/>
      <c r="F525" s="1959"/>
      <c r="G525" s="1857">
        <f>+N520</f>
        <v>130.69555940000001</v>
      </c>
      <c r="H525" s="1858">
        <f>17105048.67/A1</f>
        <v>171.05048670000002</v>
      </c>
    </row>
    <row r="526" spans="1:17" s="766" customFormat="1" ht="18">
      <c r="A526"/>
      <c r="B526" s="1294" t="s">
        <v>1019</v>
      </c>
      <c r="C526" s="34"/>
      <c r="D526" s="34"/>
      <c r="E526" s="34"/>
      <c r="F526" s="1959"/>
      <c r="G526" s="1857">
        <f>+GETPIVOTDATA("Sum of Dr. Final 22-23",Pivot!$A$3,"Note",27,"BS Main Head","Other - Manufacturing Expenses","BS Sub Head","Waste Paper Feeding Charges")/A1</f>
        <v>48.294080000000001</v>
      </c>
      <c r="H526" s="1858">
        <f>6303933/A1</f>
        <v>63.03933</v>
      </c>
      <c r="J526"/>
      <c r="K526" s="3"/>
      <c r="L526" s="3"/>
      <c r="M526" s="3"/>
      <c r="N526" s="3"/>
      <c r="O526"/>
      <c r="P526"/>
      <c r="Q526"/>
    </row>
    <row r="527" spans="1:17" s="766" customFormat="1" ht="18">
      <c r="A527"/>
      <c r="B527" s="1269"/>
      <c r="C527" s="55"/>
      <c r="D527" s="55"/>
      <c r="E527" s="55"/>
      <c r="F527" s="1796" t="s">
        <v>1020</v>
      </c>
      <c r="G527" s="1869">
        <f>+SUM(G516:G526)</f>
        <v>2321.7974467999998</v>
      </c>
      <c r="H527" s="1870">
        <f>+SUM(H516:H526)</f>
        <v>1926.6386522</v>
      </c>
      <c r="J527"/>
      <c r="K527" s="3"/>
      <c r="L527" s="3"/>
      <c r="M527" s="3"/>
      <c r="N527" s="3"/>
      <c r="O527"/>
      <c r="P527"/>
      <c r="Q527"/>
    </row>
    <row r="528" spans="1:17" s="766" customFormat="1" ht="18.600000000000001" thickBot="1">
      <c r="A528"/>
      <c r="B528" s="1232"/>
      <c r="C528" s="1233"/>
      <c r="D528" s="1233"/>
      <c r="E528" s="1233"/>
      <c r="F528" s="1560"/>
      <c r="G528" s="1795"/>
      <c r="H528" s="1830"/>
      <c r="J528"/>
      <c r="K528" s="3"/>
      <c r="L528" s="3"/>
      <c r="M528" s="3"/>
      <c r="N528" s="3"/>
      <c r="O528"/>
      <c r="P528"/>
      <c r="Q528"/>
    </row>
    <row r="529" spans="1:17" s="766" customFormat="1" ht="18">
      <c r="A529"/>
      <c r="B529" s="2155" t="s">
        <v>785</v>
      </c>
      <c r="C529" s="2156"/>
      <c r="D529" s="2156"/>
      <c r="E529" s="2156"/>
      <c r="F529" s="2156"/>
      <c r="G529" s="2156"/>
      <c r="H529" s="2157"/>
      <c r="J529"/>
      <c r="K529" s="3"/>
      <c r="L529" s="3"/>
      <c r="M529" s="3"/>
      <c r="N529" s="3"/>
      <c r="O529"/>
      <c r="P529"/>
      <c r="Q529"/>
    </row>
    <row r="530" spans="1:17" s="766" customFormat="1" ht="18">
      <c r="A530"/>
      <c r="B530" s="2158" t="s">
        <v>2241</v>
      </c>
      <c r="C530" s="2159"/>
      <c r="D530" s="2159"/>
      <c r="E530" s="2159"/>
      <c r="F530" s="2159"/>
      <c r="G530" s="2159"/>
      <c r="H530" s="2160"/>
      <c r="J530"/>
      <c r="K530" s="3"/>
      <c r="L530" s="3"/>
      <c r="M530" s="3"/>
      <c r="N530" s="3"/>
      <c r="O530"/>
      <c r="P530"/>
      <c r="Q530"/>
    </row>
    <row r="531" spans="1:17" s="766" customFormat="1" ht="18">
      <c r="A531"/>
      <c r="B531" s="1533"/>
      <c r="C531" s="2044"/>
      <c r="D531" s="2044"/>
      <c r="E531" s="2044"/>
      <c r="F531" s="2044"/>
      <c r="G531" s="2273" t="s">
        <v>3123</v>
      </c>
      <c r="H531" s="2274"/>
      <c r="J531"/>
      <c r="K531" s="3"/>
      <c r="L531" s="3"/>
      <c r="M531" s="3"/>
      <c r="N531" s="3"/>
      <c r="O531"/>
      <c r="P531"/>
      <c r="Q531"/>
    </row>
    <row r="532" spans="1:17" s="766" customFormat="1" ht="18">
      <c r="A532"/>
      <c r="B532" s="1287" t="s">
        <v>0</v>
      </c>
      <c r="C532" s="1288"/>
      <c r="D532" s="1288"/>
      <c r="E532" s="1288"/>
      <c r="F532" s="1289"/>
      <c r="G532" s="1237" t="s">
        <v>788</v>
      </c>
      <c r="H532" s="1238" t="s">
        <v>788</v>
      </c>
      <c r="J532"/>
      <c r="K532" s="3"/>
      <c r="L532" s="3"/>
      <c r="M532" s="3"/>
      <c r="N532" s="3"/>
      <c r="O532"/>
      <c r="P532"/>
      <c r="Q532"/>
    </row>
    <row r="533" spans="1:17" s="766" customFormat="1" ht="18">
      <c r="A533"/>
      <c r="B533" s="1269"/>
      <c r="C533" s="55"/>
      <c r="D533" s="55"/>
      <c r="E533" s="55"/>
      <c r="F533" s="38"/>
      <c r="G533" s="41" t="str">
        <f>+G6</f>
        <v>March 31, 2023 (₹)</v>
      </c>
      <c r="H533" s="1272" t="str">
        <f>+H6</f>
        <v>March 31, 2022 (₹)</v>
      </c>
      <c r="J533"/>
      <c r="K533" s="3"/>
      <c r="L533" s="3"/>
      <c r="M533" s="3"/>
      <c r="N533" s="3"/>
      <c r="O533"/>
      <c r="P533"/>
      <c r="Q533"/>
    </row>
    <row r="534" spans="1:17" s="766" customFormat="1" ht="18">
      <c r="A534"/>
      <c r="B534" s="1311" t="s">
        <v>1021</v>
      </c>
      <c r="C534" s="35"/>
      <c r="D534" s="35"/>
      <c r="E534" s="35"/>
      <c r="F534" s="2004"/>
      <c r="G534" s="58"/>
      <c r="H534" s="1292"/>
      <c r="J534"/>
      <c r="K534" s="3"/>
      <c r="L534" s="3"/>
      <c r="M534" s="3"/>
      <c r="N534" s="3"/>
      <c r="O534"/>
      <c r="P534"/>
      <c r="Q534"/>
    </row>
    <row r="535" spans="1:17" s="766" customFormat="1" ht="18">
      <c r="A535"/>
      <c r="B535" s="1375" t="s">
        <v>1022</v>
      </c>
      <c r="C535" s="2004"/>
      <c r="D535" s="2004"/>
      <c r="E535" s="2004"/>
      <c r="F535" s="2004"/>
      <c r="G535" s="58"/>
      <c r="H535" s="1292"/>
      <c r="J535"/>
      <c r="K535" s="3"/>
      <c r="L535" s="3"/>
      <c r="M535" s="3"/>
      <c r="N535" s="3"/>
      <c r="O535"/>
      <c r="P535"/>
      <c r="Q535"/>
    </row>
    <row r="536" spans="1:17" s="766" customFormat="1" ht="18">
      <c r="A536"/>
      <c r="B536" s="1297" t="s">
        <v>398</v>
      </c>
      <c r="C536" s="2004"/>
      <c r="D536" s="2004"/>
      <c r="E536" s="2004"/>
      <c r="F536" s="2004"/>
      <c r="G536" s="1871">
        <f>+GETPIVOTDATA("Sum of Dr. Final 22-23",Pivot!$A$3,"Note",27,"BS Main Head","Other - Establishment Expenses","BS Sub Head","Statutory Audit Fees")/A1</f>
        <v>2.75</v>
      </c>
      <c r="H536" s="1872">
        <f>275000/A1</f>
        <v>2.75</v>
      </c>
      <c r="J536"/>
      <c r="K536" s="3"/>
      <c r="L536" s="3"/>
      <c r="M536" s="3"/>
      <c r="N536" s="3"/>
      <c r="O536"/>
      <c r="P536"/>
      <c r="Q536"/>
    </row>
    <row r="537" spans="1:17" s="766" customFormat="1" ht="18">
      <c r="A537"/>
      <c r="B537" s="1297" t="s">
        <v>239</v>
      </c>
      <c r="C537" s="2004"/>
      <c r="D537" s="2004"/>
      <c r="E537" s="2004"/>
      <c r="F537" s="2004"/>
      <c r="G537" s="1871">
        <f>+GETPIVOTDATA("Sum of Dr. Final 22-23",Pivot!$A$3,"Note",27,"BS Main Head","Other - Establishment Expenses","BS Sub Head","Internal Audit Fees")/A1</f>
        <v>2</v>
      </c>
      <c r="H537" s="1872">
        <f>200000/A1</f>
        <v>2</v>
      </c>
      <c r="J537"/>
      <c r="K537" s="3"/>
      <c r="L537" s="3"/>
      <c r="M537" s="3"/>
      <c r="N537" s="3"/>
      <c r="O537"/>
      <c r="P537"/>
      <c r="Q537"/>
    </row>
    <row r="538" spans="1:17" s="766" customFormat="1" ht="18">
      <c r="A538"/>
      <c r="B538" s="1297" t="s">
        <v>61</v>
      </c>
      <c r="C538" s="2004"/>
      <c r="D538" s="2004"/>
      <c r="E538" s="2004"/>
      <c r="F538" s="2004"/>
      <c r="G538" s="1871">
        <f>+GETPIVOTDATA("Sum of Dr. Final 22-23",Pivot!$A$3,"Note",27,"BS Main Head","Other - Establishment Expenses","BS Sub Head","Audit Expenses")</f>
        <v>0</v>
      </c>
      <c r="H538" s="1872">
        <f>762/A1</f>
        <v>7.62E-3</v>
      </c>
      <c r="J538"/>
      <c r="K538" s="3"/>
      <c r="L538" s="3"/>
      <c r="M538" s="3"/>
      <c r="N538" s="3"/>
      <c r="O538"/>
      <c r="P538"/>
      <c r="Q538"/>
    </row>
    <row r="539" spans="1:17" s="766" customFormat="1" ht="18">
      <c r="A539"/>
      <c r="B539" s="1335" t="s">
        <v>66</v>
      </c>
      <c r="C539" s="97"/>
      <c r="D539" s="97"/>
      <c r="E539" s="97"/>
      <c r="F539" s="2004"/>
      <c r="G539" s="1871">
        <f>+GETPIVOTDATA("Sum of Dr. Final 22-23",Pivot!$A$3,"Note",27,"BS Main Head","Other - Establishment Expenses","BS Sub Head","Bank Commission &amp; Charges")/A1</f>
        <v>4.1260348000000002</v>
      </c>
      <c r="H539" s="1872">
        <f>514584.8/A1</f>
        <v>5.145848</v>
      </c>
      <c r="J539"/>
      <c r="K539" s="3"/>
      <c r="L539" s="3"/>
      <c r="M539" s="3"/>
      <c r="N539" s="3"/>
      <c r="O539"/>
      <c r="P539"/>
      <c r="Q539"/>
    </row>
    <row r="540" spans="1:17" s="766" customFormat="1" ht="18">
      <c r="A540"/>
      <c r="B540" s="1297" t="s">
        <v>1023</v>
      </c>
      <c r="C540" s="34"/>
      <c r="D540" s="34"/>
      <c r="E540" s="34"/>
      <c r="F540" s="34"/>
      <c r="G540" s="1857">
        <f>+GETPIVOTDATA("Sum of Dr. Final 22-23",Pivot!$A$3,"Note",27,"BS Main Head","Other - Establishment Expenses","BS Sub Head","Bad Debts")</f>
        <v>0</v>
      </c>
      <c r="H540" s="1858">
        <f>6461/A1</f>
        <v>6.4610000000000001E-2</v>
      </c>
      <c r="J540"/>
      <c r="K540" s="3"/>
      <c r="L540" s="3"/>
      <c r="M540" s="3"/>
      <c r="N540" s="3"/>
      <c r="O540"/>
      <c r="P540"/>
      <c r="Q540"/>
    </row>
    <row r="541" spans="1:17" s="766" customFormat="1" ht="18">
      <c r="A541"/>
      <c r="B541" s="1297" t="s">
        <v>1024</v>
      </c>
      <c r="C541" s="34"/>
      <c r="D541" s="34"/>
      <c r="E541" s="34"/>
      <c r="F541" s="34"/>
      <c r="G541" s="1857">
        <f>+GETPIVOTDATA("Sum of Dr. Final 22-23",Pivot!$A$3,"Note",27,"BS Main Head","Other - Establishment Expenses","BS Sub Head","CSR Expenses")</f>
        <v>0</v>
      </c>
      <c r="H541" s="1858">
        <f>1308660/A1</f>
        <v>13.086600000000001</v>
      </c>
      <c r="J541"/>
      <c r="K541" s="3"/>
      <c r="L541" s="3"/>
      <c r="M541" s="3"/>
      <c r="N541" s="3"/>
      <c r="O541"/>
      <c r="P541"/>
      <c r="Q541"/>
    </row>
    <row r="542" spans="1:17" s="766" customFormat="1" ht="18">
      <c r="A542"/>
      <c r="B542" s="1297" t="s">
        <v>163</v>
      </c>
      <c r="C542" s="34"/>
      <c r="D542" s="34"/>
      <c r="E542" s="34"/>
      <c r="F542" s="2004"/>
      <c r="G542" s="1871">
        <f>+GETPIVOTDATA("Sum of Dr. Final 22-23",Pivot!$A$3,"Note",27,"BS Main Head","Other - Establishment Expenses","BS Sub Head","Donation")/A1</f>
        <v>0.375</v>
      </c>
      <c r="H542" s="1872">
        <f>26700/A1</f>
        <v>0.26700000000000002</v>
      </c>
      <c r="J542"/>
      <c r="K542" s="3"/>
      <c r="L542" s="3"/>
      <c r="M542" s="3"/>
      <c r="N542" s="3"/>
      <c r="O542"/>
      <c r="P542"/>
      <c r="Q542"/>
    </row>
    <row r="543" spans="1:17" s="766" customFormat="1" ht="18">
      <c r="A543"/>
      <c r="B543" s="1297" t="s">
        <v>217</v>
      </c>
      <c r="C543" s="34"/>
      <c r="D543" s="34"/>
      <c r="E543" s="34"/>
      <c r="F543" s="2004"/>
      <c r="G543" s="1871">
        <f>+GETPIVOTDATA("Sum of Dr. Final 22-23",Pivot!$A$3,"Note",27,"BS Main Head","Other - Establishment Expenses","BS Sub Head","Insurance Charges")/A1</f>
        <v>14.22847</v>
      </c>
      <c r="H543" s="1872">
        <f>1140533/A1</f>
        <v>11.405329999999999</v>
      </c>
      <c r="J543"/>
      <c r="K543" s="3"/>
      <c r="L543" s="3"/>
      <c r="M543" s="3"/>
      <c r="N543" s="3"/>
      <c r="O543"/>
      <c r="P543"/>
      <c r="Q543"/>
    </row>
    <row r="544" spans="1:17" s="766" customFormat="1" ht="18">
      <c r="A544"/>
      <c r="B544" s="1297" t="s">
        <v>52</v>
      </c>
      <c r="C544" s="34"/>
      <c r="D544" s="34"/>
      <c r="E544" s="34"/>
      <c r="F544" s="2004"/>
      <c r="G544" s="1871">
        <f>+(GETPIVOTDATA("Sum of Dr. Final 22-23",Pivot!$A$3,"Note",27,"BS Main Head","Other - Establishment Expenses","BS Sub Head","General Expenses")-GETPIVOTDATA("Sum of Cr. Final 22-23",Pivot!$A$3,"Note",27,"BS Main Head","Other - Establishment Expenses","BS Sub Head","General Expenses"))/A1</f>
        <v>9.5942939999999997</v>
      </c>
      <c r="H544" s="1872">
        <f>1124223.29/A1</f>
        <v>11.242232900000001</v>
      </c>
      <c r="J544"/>
      <c r="K544" s="3"/>
      <c r="L544" s="3"/>
      <c r="M544" s="3"/>
      <c r="N544" s="3"/>
      <c r="O544"/>
      <c r="P544"/>
      <c r="Q544"/>
    </row>
    <row r="545" spans="1:17" s="766" customFormat="1" ht="18">
      <c r="A545"/>
      <c r="B545" s="1297" t="s">
        <v>2389</v>
      </c>
      <c r="C545" s="2004"/>
      <c r="D545" s="2004"/>
      <c r="E545" s="2004"/>
      <c r="F545" s="2004"/>
      <c r="G545" s="1871">
        <f>+GETPIVOTDATA("Sum of Dr. Final 22-23",Pivot!$A$3,"PARTICULARS","GST ANNUAL RETURN CHARGES","Note",27,"BS Main Head","Other - Establishment Expenses","BS Sub Head","Legal and Professional Charges")/A1</f>
        <v>0.3</v>
      </c>
      <c r="H545" s="1872">
        <f>+GETPIVOTDATA("Sum of Dr. Final 21-22",Pivot!$A$3,"PARTICULARS","GST ANNUAL FEES F.Y. 2021-22","Note",27,"BS Main Head","Other - Establishment Expenses","BS Sub Head","Legal and Professional Charges")/A1</f>
        <v>0.3</v>
      </c>
      <c r="J545"/>
      <c r="K545" s="3"/>
      <c r="L545" s="3"/>
      <c r="M545" s="3"/>
      <c r="N545" s="3"/>
      <c r="O545"/>
      <c r="P545"/>
      <c r="Q545"/>
    </row>
    <row r="546" spans="1:17" s="766" customFormat="1" ht="18">
      <c r="A546"/>
      <c r="B546" s="1297" t="s">
        <v>1025</v>
      </c>
      <c r="C546" s="34"/>
      <c r="D546" s="34"/>
      <c r="E546" s="34"/>
      <c r="F546" s="2004"/>
      <c r="G546" s="1871">
        <f>+(GETPIVOTDATA("Sum of Dr. Final 22-23",Pivot!$A$3,"Note",27,"BS Main Head","Other - Establishment Expenses","BS Sub Head","Legal and Professional Charges")-GETPIVOTDATA("Sum of Dr. Final 22-23",Pivot!$A$3,"PARTICULARS","GST ANNUAL RETURN CHARGES","Note",27,"BS Main Head","Other - Establishment Expenses","BS Sub Head","Legal and Professional Charges"))/A1</f>
        <v>8.0878399999999999</v>
      </c>
      <c r="H546" s="1872">
        <f>+(GETPIVOTDATA("Sum of Dr. Final 21-22",Pivot!$A$3,"Note",27,"BS Main Head","Other - Establishment Expenses","BS Sub Head","Legal and Professional Charges")-GETPIVOTDATA("Sum of Dr. Final 21-22",Pivot!$A$3,"PARTICULARS","GST ANNUAL FEES F.Y. 2021-22","Note",27,"BS Main Head","Other - Establishment Expenses","BS Sub Head","Legal and Professional Charges"))/A1</f>
        <v>17.38494</v>
      </c>
      <c r="J546"/>
      <c r="K546" s="3"/>
      <c r="L546" s="3"/>
      <c r="M546" s="3"/>
      <c r="N546" s="3"/>
      <c r="O546"/>
      <c r="P546"/>
      <c r="Q546"/>
    </row>
    <row r="547" spans="1:17" s="766" customFormat="1" ht="18">
      <c r="A547"/>
      <c r="B547" s="1297" t="s">
        <v>1026</v>
      </c>
      <c r="C547" s="34"/>
      <c r="D547" s="34"/>
      <c r="E547" s="34"/>
      <c r="F547" s="34"/>
      <c r="G547" s="1857">
        <f>+GETPIVOTDATA("Sum of Dr. Final 22-23",Pivot!$A$3,"Note",27,"BS Main Head","Other - Establishment Expenses","BS Sub Head","Listing Expenses")/A1</f>
        <v>0.55000000000000004</v>
      </c>
      <c r="H547" s="1858">
        <f>+GETPIVOTDATA("Sum of Dr. Final 21-22",Pivot!$A$3,"Note",27,"BS Main Head","Other - Establishment Expenses","BS Sub Head","Listing Expenses")/A1</f>
        <v>1.03</v>
      </c>
      <c r="J547"/>
      <c r="K547" s="3"/>
      <c r="L547" s="3"/>
      <c r="M547" s="3"/>
      <c r="N547" s="3"/>
      <c r="O547"/>
      <c r="P547"/>
      <c r="Q547"/>
    </row>
    <row r="548" spans="1:17" s="766" customFormat="1" ht="18">
      <c r="A548"/>
      <c r="B548" s="1297" t="s">
        <v>2916</v>
      </c>
      <c r="C548" s="34"/>
      <c r="D548" s="34"/>
      <c r="E548" s="34"/>
      <c r="F548" s="34"/>
      <c r="G548" s="1857">
        <v>0</v>
      </c>
      <c r="H548" s="1858">
        <v>0</v>
      </c>
      <c r="J548"/>
      <c r="K548" s="3"/>
      <c r="L548" s="3"/>
      <c r="M548" s="3"/>
      <c r="N548" s="3"/>
      <c r="O548"/>
      <c r="P548"/>
      <c r="Q548"/>
    </row>
    <row r="549" spans="1:17" s="766" customFormat="1" ht="18">
      <c r="A549"/>
      <c r="B549" s="1297" t="s">
        <v>80</v>
      </c>
      <c r="C549" s="34"/>
      <c r="D549" s="34"/>
      <c r="E549" s="34"/>
      <c r="F549" s="2004"/>
      <c r="G549" s="1871">
        <f>+GETPIVOTDATA("Sum of Dr. Final 22-23",Pivot!$A$3,"Note",27,"BS Main Head","Other - Establishment Expenses","BS Sub Head","Office Expenses")/A1</f>
        <v>3.9189990000000003</v>
      </c>
      <c r="H549" s="1872">
        <f>344353.44/A1</f>
        <v>3.4435343999999999</v>
      </c>
      <c r="J549"/>
      <c r="K549" s="3"/>
      <c r="L549" s="3"/>
      <c r="M549" s="3"/>
      <c r="N549" s="3"/>
      <c r="O549"/>
      <c r="P549"/>
      <c r="Q549"/>
    </row>
    <row r="550" spans="1:17" s="766" customFormat="1" ht="18">
      <c r="A550"/>
      <c r="B550" s="1297" t="s">
        <v>396</v>
      </c>
      <c r="C550" s="34"/>
      <c r="D550" s="34"/>
      <c r="E550" s="34"/>
      <c r="F550" s="2004"/>
      <c r="G550" s="1871">
        <f>+GETPIVOTDATA("Sum of Dr. Final 22-23",Pivot!$A$3,"Note",27,"BS Main Head","Other - Establishment Expenses","BS Sub Head","Printing &amp; Stationery")/A1</f>
        <v>2.6918478000000001</v>
      </c>
      <c r="H550" s="1872">
        <f>183140.58/A1</f>
        <v>1.8314058</v>
      </c>
      <c r="J550"/>
      <c r="K550" s="3"/>
      <c r="L550" s="3"/>
      <c r="M550" s="3"/>
      <c r="N550" s="3"/>
      <c r="O550"/>
      <c r="P550"/>
      <c r="Q550"/>
    </row>
    <row r="551" spans="1:17" s="766" customFormat="1" ht="18">
      <c r="A551"/>
      <c r="B551" s="1297" t="s">
        <v>87</v>
      </c>
      <c r="C551" s="34"/>
      <c r="D551" s="34"/>
      <c r="E551" s="34"/>
      <c r="F551" s="2004"/>
      <c r="G551" s="1871">
        <f>+GETPIVOTDATA("Sum of Dr. Final 22-23",Pivot!$A$3,"Note",27,"BS Main Head","Other - Establishment Expenses","BS Sub Head","Rates &amp; Taxes")/A1</f>
        <v>7.1430499999999997</v>
      </c>
      <c r="H551" s="1872">
        <f>656073/A1</f>
        <v>6.5607300000000004</v>
      </c>
      <c r="J551"/>
      <c r="K551" s="3"/>
      <c r="L551" s="3"/>
      <c r="M551" s="3"/>
      <c r="N551" s="3"/>
      <c r="O551"/>
      <c r="P551"/>
      <c r="Q551"/>
    </row>
    <row r="552" spans="1:17" s="766" customFormat="1" ht="18">
      <c r="A552"/>
      <c r="B552" s="1375" t="s">
        <v>1016</v>
      </c>
      <c r="C552" s="2004"/>
      <c r="D552" s="2004"/>
      <c r="E552" s="2004"/>
      <c r="F552" s="2004"/>
      <c r="G552" s="1871"/>
      <c r="H552" s="1872"/>
      <c r="J552"/>
      <c r="K552" s="3"/>
      <c r="L552" s="3"/>
      <c r="M552" s="3"/>
      <c r="N552" s="3"/>
      <c r="O552"/>
      <c r="P552"/>
      <c r="Q552"/>
    </row>
    <row r="553" spans="1:17" s="766" customFormat="1" ht="18">
      <c r="A553"/>
      <c r="B553" s="1297" t="s">
        <v>1027</v>
      </c>
      <c r="C553" s="34"/>
      <c r="D553" s="34"/>
      <c r="E553" s="34"/>
      <c r="F553" s="2045"/>
      <c r="G553" s="1871">
        <f>+GETPIVOTDATA("Sum of Dr. Final 22-23",Pivot!$A$3,"Note",27,"BS Main Head","Other - Establishment Expenses","BS Sub Head","Repairs &amp; Maintainence - Vehicle")/A1</f>
        <v>9.9623652000000007</v>
      </c>
      <c r="H553" s="1872">
        <f>972900.12/A1</f>
        <v>9.7290012000000008</v>
      </c>
      <c r="J553"/>
      <c r="K553" s="3"/>
      <c r="L553" s="3"/>
      <c r="M553" s="3"/>
      <c r="N553" s="3"/>
      <c r="O553"/>
      <c r="P553"/>
      <c r="Q553"/>
    </row>
    <row r="554" spans="1:17" s="766" customFormat="1" ht="18">
      <c r="A554"/>
      <c r="B554" s="1297" t="s">
        <v>1028</v>
      </c>
      <c r="C554" s="34"/>
      <c r="D554" s="34"/>
      <c r="E554" s="34"/>
      <c r="F554" s="2004"/>
      <c r="G554" s="1871">
        <f>+GETPIVOTDATA("Sum of Dr. Final 22-23",Pivot!$A$3,"Note",27,"BS Main Head","Other - Establishment Expenses","BS Sub Head","Repairs &amp; Maintainence - Others")/A1</f>
        <v>2.6858399999999998</v>
      </c>
      <c r="H554" s="1872">
        <f>501594.49/A1</f>
        <v>5.0159449</v>
      </c>
      <c r="J554"/>
      <c r="K554" s="3"/>
      <c r="L554" s="3"/>
      <c r="M554" s="3"/>
      <c r="N554" s="3"/>
      <c r="O554"/>
      <c r="P554"/>
      <c r="Q554"/>
    </row>
    <row r="555" spans="1:17" s="766" customFormat="1" ht="18">
      <c r="A555"/>
      <c r="B555" s="1297" t="s">
        <v>1029</v>
      </c>
      <c r="C555" s="34"/>
      <c r="D555" s="34"/>
      <c r="E555" s="34"/>
      <c r="F555" s="1958"/>
      <c r="G555" s="1857">
        <f>+GETPIVOTDATA("Sum of Dr. Final 22-23",Pivot!$A$3,"Note",27,"BS Main Head","Other - Establishment Expenses","BS Sub Head","Rent Expense")/A1</f>
        <v>6.42</v>
      </c>
      <c r="H555" s="1858">
        <f>468000/A1</f>
        <v>4.68</v>
      </c>
      <c r="J555"/>
      <c r="K555" s="3"/>
      <c r="L555" s="3"/>
      <c r="M555" s="3"/>
      <c r="N555" s="3"/>
      <c r="O555"/>
      <c r="P555"/>
      <c r="Q555"/>
    </row>
    <row r="556" spans="1:17" s="766" customFormat="1" ht="18">
      <c r="A556"/>
      <c r="B556" s="1297" t="s">
        <v>1030</v>
      </c>
      <c r="C556" s="34"/>
      <c r="D556" s="34"/>
      <c r="E556" s="34"/>
      <c r="F556" s="2046"/>
      <c r="G556" s="1871">
        <f>+GETPIVOTDATA("Sum of Dr. Final 22-23",Pivot!$A$3,"Note",27,"BS Main Head","Other - Establishment Expenses","BS Sub Head","Travelling and Conveyance Expense")/A1</f>
        <v>5.4001099999999997</v>
      </c>
      <c r="H556" s="1872">
        <f>333028/A1</f>
        <v>3.3302800000000001</v>
      </c>
      <c r="J556"/>
      <c r="K556" s="3"/>
      <c r="L556" s="3"/>
      <c r="M556" s="3"/>
      <c r="N556" s="3"/>
      <c r="O556"/>
      <c r="P556"/>
      <c r="Q556"/>
    </row>
    <row r="557" spans="1:17" s="766" customFormat="1" ht="18">
      <c r="A557"/>
      <c r="B557" s="1297" t="s">
        <v>415</v>
      </c>
      <c r="C557" s="34"/>
      <c r="D557" s="34"/>
      <c r="E557" s="34"/>
      <c r="F557" s="2004"/>
      <c r="G557" s="1871">
        <f>+GETPIVOTDATA("Sum of Dr. Final 22-23",Pivot!$A$3,"Note",27,"BS Main Head","Other - Establishment Expenses","BS Sub Head","Telephone Expenses")/A1</f>
        <v>0.67428999999999994</v>
      </c>
      <c r="H557" s="1872">
        <f>70996/A1</f>
        <v>0.70996000000000004</v>
      </c>
      <c r="J557"/>
      <c r="K557" s="3"/>
      <c r="L557" s="3"/>
      <c r="M557" s="3"/>
      <c r="N557" s="3"/>
      <c r="O557"/>
      <c r="P557"/>
      <c r="Q557"/>
    </row>
    <row r="558" spans="1:17" s="766" customFormat="1" ht="18">
      <c r="A558"/>
      <c r="B558" s="1297"/>
      <c r="C558" s="34"/>
      <c r="D558" s="34"/>
      <c r="E558" s="34"/>
      <c r="F558" s="2023" t="s">
        <v>1031</v>
      </c>
      <c r="G558" s="1869">
        <f>+SUM(G550:G557)+SUM(G536:G549)</f>
        <v>80.908140799999984</v>
      </c>
      <c r="H558" s="1870">
        <f>+SUM(H550:H557)+SUM(H536:H549)</f>
        <v>99.985037200000008</v>
      </c>
      <c r="J558"/>
      <c r="K558" s="3"/>
      <c r="L558" s="3"/>
      <c r="M558" s="3"/>
      <c r="N558" s="3"/>
      <c r="O558"/>
      <c r="P558"/>
      <c r="Q558"/>
    </row>
    <row r="559" spans="1:17" s="766" customFormat="1" ht="18">
      <c r="A559"/>
      <c r="B559" s="1283" t="s">
        <v>1032</v>
      </c>
      <c r="C559" s="35"/>
      <c r="D559" s="35"/>
      <c r="E559" s="35"/>
      <c r="F559" s="2004"/>
      <c r="G559" s="58"/>
      <c r="H559" s="1292"/>
      <c r="J559"/>
      <c r="K559" s="3"/>
      <c r="L559" s="3"/>
      <c r="M559" s="3"/>
      <c r="N559" s="3"/>
      <c r="O559"/>
      <c r="P559"/>
      <c r="Q559"/>
    </row>
    <row r="560" spans="1:17" s="766" customFormat="1" ht="18">
      <c r="A560"/>
      <c r="B560" s="1297" t="s">
        <v>1033</v>
      </c>
      <c r="C560" s="34"/>
      <c r="D560" s="34"/>
      <c r="E560" s="34"/>
      <c r="F560" s="2004"/>
      <c r="G560" s="1871">
        <f>+GETPIVOTDATA("Sum of Dr. Final 22-23",Pivot!$A$3,"Note",27,"BS Main Head","Other - Selling &amp; Distribution Expenses","BS Sub Head","Advertisement Expenses")/A1</f>
        <v>1.2027399999999999</v>
      </c>
      <c r="H560" s="1872">
        <f>125580/A1</f>
        <v>1.2558</v>
      </c>
      <c r="J560"/>
      <c r="K560" s="3"/>
      <c r="L560" s="3"/>
      <c r="M560" s="3"/>
      <c r="N560" s="3"/>
      <c r="O560"/>
      <c r="P560"/>
      <c r="Q560"/>
    </row>
    <row r="561" spans="1:17" s="766" customFormat="1" ht="18">
      <c r="A561"/>
      <c r="B561" s="1297" t="s">
        <v>215</v>
      </c>
      <c r="C561" s="34"/>
      <c r="D561" s="34"/>
      <c r="E561" s="34"/>
      <c r="F561" s="2004"/>
      <c r="G561" s="1871">
        <f>+GETPIVOTDATA("Sum of Dr. Final 22-23",Pivot!$A$3,"Note",27,"BS Main Head","Other - Selling &amp; Distribution Expenses","BS Sub Head","Insurance on Sales")/A1</f>
        <v>2.5050599999999998</v>
      </c>
      <c r="H561" s="1872">
        <f>369150/A1</f>
        <v>3.6915</v>
      </c>
      <c r="J561"/>
      <c r="K561" s="3"/>
      <c r="L561" s="3"/>
      <c r="M561" s="3"/>
      <c r="N561" s="3"/>
      <c r="O561"/>
      <c r="P561"/>
      <c r="Q561"/>
    </row>
    <row r="562" spans="1:17" s="766" customFormat="1" ht="18">
      <c r="A562"/>
      <c r="B562" s="1297" t="s">
        <v>177</v>
      </c>
      <c r="C562" s="34"/>
      <c r="D562" s="34"/>
      <c r="E562" s="34"/>
      <c r="F562" s="2004"/>
      <c r="G562" s="1871">
        <f>+GETPIVOTDATA("Sum of Dr. Final 22-23",Pivot!$A$3,"Note",27,"BS Main Head","Other - Selling &amp; Distribution Expenses","BS Sub Head","Freight on Sales")/A1</f>
        <v>0.67144000000000004</v>
      </c>
      <c r="H562" s="1872">
        <f>1724227/A1</f>
        <v>17.242270000000001</v>
      </c>
      <c r="J562"/>
      <c r="K562" s="3"/>
      <c r="L562" s="3"/>
      <c r="M562" s="3"/>
      <c r="N562" s="3"/>
      <c r="O562"/>
      <c r="P562"/>
      <c r="Q562"/>
    </row>
    <row r="563" spans="1:17" s="766" customFormat="1" ht="18">
      <c r="A563"/>
      <c r="B563" s="1297" t="s">
        <v>1034</v>
      </c>
      <c r="C563" s="34"/>
      <c r="D563" s="34"/>
      <c r="E563" s="34"/>
      <c r="F563" s="2004"/>
      <c r="G563" s="1871">
        <f>+GETPIVOTDATA("Sum of Dr. Final 22-23",Pivot!$A$3,"Note",27,"BS Main Head","Other - Selling &amp; Distribution Expenses","BS Sub Head","Commission on Sales")/A1</f>
        <v>15.857699999999999</v>
      </c>
      <c r="H563" s="1872">
        <f>1397360/A1</f>
        <v>13.973599999999999</v>
      </c>
      <c r="J563"/>
      <c r="K563" s="3"/>
      <c r="L563" s="3"/>
      <c r="M563" s="3"/>
      <c r="N563" s="3"/>
      <c r="O563"/>
      <c r="P563"/>
      <c r="Q563"/>
    </row>
    <row r="564" spans="1:17" s="766" customFormat="1" ht="18">
      <c r="A564"/>
      <c r="B564" s="1297"/>
      <c r="C564" s="34"/>
      <c r="D564" s="34"/>
      <c r="E564" s="34"/>
      <c r="F564" s="2023" t="s">
        <v>1035</v>
      </c>
      <c r="G564" s="1869">
        <f>+SUM(G560:G563)</f>
        <v>20.236939999999997</v>
      </c>
      <c r="H564" s="1870">
        <f>+SUM(H560:H563)</f>
        <v>36.163170000000001</v>
      </c>
      <c r="J564"/>
      <c r="K564" s="3"/>
      <c r="L564" s="3"/>
      <c r="M564" s="3"/>
      <c r="N564" s="3"/>
      <c r="O564"/>
      <c r="P564"/>
      <c r="Q564"/>
    </row>
    <row r="565" spans="1:17" s="766" customFormat="1" ht="18">
      <c r="A565"/>
      <c r="B565" s="1297"/>
      <c r="C565" s="34"/>
      <c r="D565" s="34"/>
      <c r="E565" s="34"/>
      <c r="F565" s="99" t="s">
        <v>1036</v>
      </c>
      <c r="G565" s="1869">
        <f>+G564+G558+G527</f>
        <v>2422.9425275999997</v>
      </c>
      <c r="H565" s="1870">
        <f>+H564+H558+H527</f>
        <v>2062.7868594000001</v>
      </c>
      <c r="J565"/>
      <c r="K565" s="3"/>
      <c r="L565" s="3"/>
      <c r="M565" s="3"/>
      <c r="N565" s="3"/>
      <c r="O565"/>
      <c r="P565"/>
      <c r="Q565"/>
    </row>
    <row r="566" spans="1:17" s="766" customFormat="1" ht="18">
      <c r="A566"/>
      <c r="B566" s="1348" t="s">
        <v>2815</v>
      </c>
      <c r="C566" s="34"/>
      <c r="D566" s="34"/>
      <c r="E566" s="34"/>
      <c r="F566" s="24"/>
      <c r="G566" s="59"/>
      <c r="H566" s="1293"/>
      <c r="J566"/>
      <c r="K566" s="3"/>
      <c r="L566" s="3"/>
      <c r="M566" s="3"/>
      <c r="N566" s="3"/>
      <c r="O566"/>
      <c r="P566"/>
      <c r="Q566"/>
    </row>
    <row r="567" spans="1:17" s="766" customFormat="1" ht="18">
      <c r="A567"/>
      <c r="B567" s="1283" t="s">
        <v>532</v>
      </c>
      <c r="C567" s="34"/>
      <c r="D567" s="34"/>
      <c r="E567" s="34"/>
      <c r="F567" s="24"/>
      <c r="G567" s="59"/>
      <c r="H567" s="1293"/>
      <c r="J567"/>
      <c r="K567" s="3"/>
      <c r="L567" s="3"/>
      <c r="M567" s="3"/>
      <c r="N567" s="3"/>
      <c r="O567"/>
      <c r="P567"/>
      <c r="Q567"/>
    </row>
    <row r="568" spans="1:17" s="766" customFormat="1" ht="18">
      <c r="A568"/>
      <c r="B568" s="1283" t="s">
        <v>1037</v>
      </c>
      <c r="C568" s="34"/>
      <c r="D568" s="34"/>
      <c r="E568" s="34"/>
      <c r="F568" s="24"/>
      <c r="G568" s="59"/>
      <c r="H568" s="1293"/>
      <c r="J568"/>
      <c r="K568" s="3"/>
      <c r="L568" s="3"/>
      <c r="M568" s="3"/>
      <c r="N568" s="3"/>
      <c r="O568"/>
      <c r="P568"/>
      <c r="Q568"/>
    </row>
    <row r="569" spans="1:17" s="766" customFormat="1" ht="18">
      <c r="A569"/>
      <c r="B569" s="1297" t="s">
        <v>1038</v>
      </c>
      <c r="C569" s="34"/>
      <c r="D569" s="34"/>
      <c r="E569" s="34"/>
      <c r="F569" s="24"/>
      <c r="G569" s="103">
        <f>-G727</f>
        <v>4.5342099999999999</v>
      </c>
      <c r="H569" s="1377">
        <f>-H727</f>
        <v>11.040749999999999</v>
      </c>
      <c r="J569"/>
      <c r="K569" s="3"/>
      <c r="L569" s="3"/>
      <c r="M569" s="3"/>
      <c r="N569" s="3"/>
      <c r="O569"/>
      <c r="P569"/>
      <c r="Q569"/>
    </row>
    <row r="570" spans="1:17" s="766" customFormat="1" ht="18">
      <c r="A570"/>
      <c r="B570" s="1297" t="s">
        <v>2917</v>
      </c>
      <c r="C570" s="34"/>
      <c r="D570" s="34"/>
      <c r="E570" s="34"/>
      <c r="F570" s="24"/>
      <c r="G570" s="1857"/>
      <c r="H570" s="1858"/>
      <c r="J570"/>
      <c r="K570" s="3"/>
      <c r="L570" s="3"/>
      <c r="M570" s="3"/>
      <c r="N570" s="3"/>
      <c r="O570"/>
      <c r="P570"/>
      <c r="Q570"/>
    </row>
    <row r="571" spans="1:17" s="766" customFormat="1" ht="18">
      <c r="A571"/>
      <c r="B571" s="1277" t="s">
        <v>863</v>
      </c>
      <c r="C571" s="34"/>
      <c r="D571" s="34"/>
      <c r="E571" s="34"/>
      <c r="F571" s="24"/>
      <c r="G571" s="1857"/>
      <c r="H571" s="1858"/>
      <c r="J571"/>
      <c r="K571" s="3"/>
      <c r="L571" s="3"/>
      <c r="M571" s="3"/>
      <c r="N571" s="3"/>
      <c r="O571"/>
      <c r="P571"/>
      <c r="Q571"/>
    </row>
    <row r="572" spans="1:17" s="766" customFormat="1" ht="18">
      <c r="A572"/>
      <c r="B572" s="1277" t="s">
        <v>841</v>
      </c>
      <c r="C572" s="34"/>
      <c r="D572" s="34"/>
      <c r="E572" s="34"/>
      <c r="F572" s="24"/>
      <c r="G572" s="1857"/>
      <c r="H572" s="1858"/>
      <c r="J572"/>
      <c r="K572" s="3"/>
      <c r="L572" s="3"/>
      <c r="M572" s="3"/>
      <c r="N572" s="3"/>
      <c r="O572"/>
      <c r="P572"/>
      <c r="Q572"/>
    </row>
    <row r="573" spans="1:17" s="766" customFormat="1" ht="18">
      <c r="A573"/>
      <c r="B573" s="1297"/>
      <c r="C573" s="34"/>
      <c r="D573" s="34"/>
      <c r="E573" s="34"/>
      <c r="F573" s="24"/>
      <c r="G573" s="1879">
        <f>+SUM(G569:G571)</f>
        <v>4.5342099999999999</v>
      </c>
      <c r="H573" s="1880">
        <f>+SUM(H569:H571)</f>
        <v>11.040749999999999</v>
      </c>
      <c r="J573"/>
      <c r="K573" s="3"/>
      <c r="L573" s="3"/>
      <c r="M573" s="3"/>
      <c r="N573" s="3"/>
      <c r="O573"/>
      <c r="P573"/>
      <c r="Q573"/>
    </row>
    <row r="574" spans="1:17" s="766" customFormat="1" ht="18">
      <c r="A574"/>
      <c r="B574" s="1283" t="s">
        <v>1039</v>
      </c>
      <c r="C574" s="34"/>
      <c r="D574" s="34"/>
      <c r="E574" s="34"/>
      <c r="F574" s="24"/>
      <c r="G574" s="1857"/>
      <c r="H574" s="1858"/>
      <c r="J574"/>
      <c r="K574" s="3"/>
      <c r="L574" s="3"/>
      <c r="M574" s="3"/>
      <c r="N574" s="3"/>
      <c r="O574"/>
      <c r="P574"/>
      <c r="Q574"/>
    </row>
    <row r="575" spans="1:17" s="766" customFormat="1" ht="18">
      <c r="A575"/>
      <c r="B575" s="1243" t="s">
        <v>1040</v>
      </c>
      <c r="C575" s="34"/>
      <c r="D575" s="34"/>
      <c r="E575" s="34"/>
      <c r="F575" s="24"/>
      <c r="G575" s="1857">
        <v>0</v>
      </c>
      <c r="H575" s="1858">
        <v>0</v>
      </c>
      <c r="J575"/>
      <c r="K575" s="3"/>
      <c r="L575" s="3"/>
      <c r="M575" s="3"/>
      <c r="N575" s="3"/>
      <c r="O575"/>
      <c r="P575"/>
      <c r="Q575"/>
    </row>
    <row r="576" spans="1:17" s="766" customFormat="1" ht="18">
      <c r="A576"/>
      <c r="B576" s="1283"/>
      <c r="C576" s="34"/>
      <c r="D576" s="34"/>
      <c r="E576" s="34"/>
      <c r="F576" s="24"/>
      <c r="G576" s="1857"/>
      <c r="H576" s="1858"/>
      <c r="J576"/>
      <c r="K576" s="3"/>
      <c r="L576" s="3"/>
      <c r="M576" s="3"/>
      <c r="N576" s="3"/>
      <c r="O576"/>
      <c r="P576"/>
      <c r="Q576"/>
    </row>
    <row r="577" spans="1:17" s="766" customFormat="1" ht="18">
      <c r="A577"/>
      <c r="B577" s="1297"/>
      <c r="C577" s="34"/>
      <c r="D577" s="34"/>
      <c r="E577" s="34"/>
      <c r="F577" s="24"/>
      <c r="G577" s="1879">
        <v>0</v>
      </c>
      <c r="H577" s="1880">
        <v>0</v>
      </c>
      <c r="J577"/>
      <c r="K577" s="3"/>
      <c r="L577" s="3"/>
      <c r="M577" s="3"/>
      <c r="N577" s="3"/>
      <c r="O577"/>
      <c r="P577"/>
      <c r="Q577"/>
    </row>
    <row r="578" spans="1:17" s="766" customFormat="1" ht="18">
      <c r="A578"/>
      <c r="B578" s="1283" t="s">
        <v>1041</v>
      </c>
      <c r="C578" s="34"/>
      <c r="D578" s="34"/>
      <c r="E578" s="34"/>
      <c r="F578" s="24"/>
      <c r="G578" s="1879">
        <f>G577+G573</f>
        <v>4.5342099999999999</v>
      </c>
      <c r="H578" s="1880">
        <f>H577+H573</f>
        <v>11.040749999999999</v>
      </c>
      <c r="J578"/>
      <c r="K578" s="3"/>
      <c r="L578" s="3"/>
      <c r="M578" s="3"/>
      <c r="N578" s="3"/>
      <c r="O578"/>
      <c r="P578"/>
      <c r="Q578"/>
    </row>
    <row r="579" spans="1:17" s="766" customFormat="1" ht="18">
      <c r="A579"/>
      <c r="B579" s="1283"/>
      <c r="C579" s="34"/>
      <c r="D579" s="34"/>
      <c r="E579" s="34"/>
      <c r="F579" s="24"/>
      <c r="G579" s="525"/>
      <c r="H579" s="1866"/>
      <c r="J579"/>
      <c r="K579" s="3"/>
      <c r="L579" s="3"/>
      <c r="M579" s="3"/>
      <c r="N579" s="3"/>
      <c r="O579"/>
      <c r="P579"/>
      <c r="Q579"/>
    </row>
    <row r="580" spans="1:17" s="766" customFormat="1" ht="18">
      <c r="A580"/>
      <c r="B580" s="1348" t="s">
        <v>2816</v>
      </c>
      <c r="C580" s="34"/>
      <c r="D580" s="34"/>
      <c r="E580" s="34"/>
      <c r="F580" s="24"/>
      <c r="G580" s="525"/>
      <c r="H580" s="1866"/>
      <c r="J580"/>
      <c r="K580" s="3"/>
      <c r="L580" s="3"/>
      <c r="M580" s="3"/>
      <c r="N580" s="3"/>
      <c r="O580"/>
      <c r="P580"/>
      <c r="Q580"/>
    </row>
    <row r="581" spans="1:17" s="766" customFormat="1" ht="18">
      <c r="A581"/>
      <c r="B581" s="1297" t="s">
        <v>1042</v>
      </c>
      <c r="C581" s="34"/>
      <c r="D581" s="34"/>
      <c r="E581" s="34"/>
      <c r="F581" s="24"/>
      <c r="G581" s="103">
        <f>+G104</f>
        <v>-377.29675915287481</v>
      </c>
      <c r="H581" s="1377">
        <f>+H104</f>
        <v>38.252889905463419</v>
      </c>
      <c r="J581"/>
      <c r="K581" s="3"/>
      <c r="L581" s="3"/>
      <c r="M581" s="3"/>
      <c r="N581" s="3"/>
      <c r="O581"/>
      <c r="P581"/>
      <c r="Q581"/>
    </row>
    <row r="582" spans="1:17" s="766" customFormat="1" ht="18">
      <c r="A582"/>
      <c r="B582" s="2133" t="s">
        <v>1043</v>
      </c>
      <c r="C582" s="2134"/>
      <c r="D582" s="2134"/>
      <c r="E582" s="2134"/>
      <c r="F582" s="2148"/>
      <c r="G582" s="103">
        <f>+G335/A1</f>
        <v>26.922650000000001</v>
      </c>
      <c r="H582" s="1377">
        <f>+H335/A1</f>
        <v>26.922650000000001</v>
      </c>
      <c r="J582"/>
      <c r="K582" s="3"/>
      <c r="L582" s="3"/>
      <c r="M582" s="3"/>
      <c r="N582" s="3"/>
      <c r="O582"/>
      <c r="P582"/>
      <c r="Q582"/>
    </row>
    <row r="583" spans="1:17" s="766" customFormat="1" ht="18">
      <c r="A583"/>
      <c r="B583" s="1297" t="s">
        <v>1044</v>
      </c>
      <c r="C583" s="34"/>
      <c r="D583" s="34"/>
      <c r="E583" s="34"/>
      <c r="F583" s="102"/>
      <c r="G583" s="103">
        <f>+G581/G582</f>
        <v>-14.014101849293246</v>
      </c>
      <c r="H583" s="1377">
        <f>+H581/H582</f>
        <v>1.4208441555888227</v>
      </c>
      <c r="J583"/>
      <c r="K583" s="3"/>
      <c r="L583" s="3"/>
      <c r="M583" s="3"/>
      <c r="N583" s="3"/>
      <c r="O583"/>
      <c r="P583"/>
      <c r="Q583"/>
    </row>
    <row r="584" spans="1:17" s="766" customFormat="1" ht="18">
      <c r="A584"/>
      <c r="B584" s="1297" t="s">
        <v>1045</v>
      </c>
      <c r="C584" s="34"/>
      <c r="D584" s="34"/>
      <c r="E584" s="34"/>
      <c r="F584" s="104"/>
      <c r="G584" s="103">
        <f>+G581/G582</f>
        <v>-14.014101849293246</v>
      </c>
      <c r="H584" s="1377">
        <f>+H581/H582</f>
        <v>1.4208441555888227</v>
      </c>
      <c r="J584"/>
      <c r="K584" s="3"/>
      <c r="L584" s="3"/>
      <c r="M584" s="3"/>
      <c r="N584" s="3"/>
      <c r="O584"/>
      <c r="P584"/>
      <c r="Q584"/>
    </row>
    <row r="585" spans="1:17" s="766" customFormat="1" ht="18.600000000000001" thickBot="1">
      <c r="A585"/>
      <c r="B585" s="1232"/>
      <c r="C585" s="1233"/>
      <c r="D585" s="1233"/>
      <c r="E585" s="1233"/>
      <c r="F585" s="1592"/>
      <c r="G585" s="1561"/>
      <c r="H585" s="1562"/>
      <c r="J585"/>
      <c r="K585" s="3"/>
      <c r="L585" s="3"/>
      <c r="M585" s="3"/>
      <c r="N585" s="3"/>
      <c r="O585"/>
      <c r="P585"/>
      <c r="Q585"/>
    </row>
    <row r="586" spans="1:17" s="766" customFormat="1" ht="18">
      <c r="A586"/>
      <c r="B586" s="2102" t="s">
        <v>785</v>
      </c>
      <c r="C586" s="2103"/>
      <c r="D586" s="2103"/>
      <c r="E586" s="2103"/>
      <c r="F586" s="2103"/>
      <c r="G586" s="2103"/>
      <c r="H586" s="2104"/>
      <c r="J586"/>
      <c r="K586" s="3"/>
      <c r="L586" s="3"/>
      <c r="M586" s="3"/>
      <c r="N586" s="3"/>
      <c r="O586"/>
      <c r="P586"/>
      <c r="Q586"/>
    </row>
    <row r="587" spans="1:17" s="766" customFormat="1" ht="18">
      <c r="A587"/>
      <c r="B587" s="2124" t="s">
        <v>2241</v>
      </c>
      <c r="C587" s="2125"/>
      <c r="D587" s="2125"/>
      <c r="E587" s="2125"/>
      <c r="F587" s="2125"/>
      <c r="G587" s="2125"/>
      <c r="H587" s="2126"/>
      <c r="J587"/>
      <c r="K587" s="3"/>
      <c r="L587" s="3"/>
      <c r="M587" s="3"/>
      <c r="N587" s="3"/>
      <c r="O587"/>
      <c r="P587"/>
      <c r="Q587"/>
    </row>
    <row r="588" spans="1:17" s="766" customFormat="1" ht="18">
      <c r="A588"/>
      <c r="B588" s="1531"/>
      <c r="C588" s="1529"/>
      <c r="D588" s="1529"/>
      <c r="E588" s="1529"/>
      <c r="F588" s="1529"/>
      <c r="G588" s="2106" t="s">
        <v>3123</v>
      </c>
      <c r="H588" s="2107"/>
      <c r="J588"/>
      <c r="K588" s="3"/>
      <c r="L588" s="3"/>
      <c r="M588" s="3"/>
      <c r="N588" s="3"/>
      <c r="O588"/>
      <c r="P588"/>
      <c r="Q588"/>
    </row>
    <row r="589" spans="1:17" s="766" customFormat="1" ht="18">
      <c r="A589"/>
      <c r="B589" s="1287" t="s">
        <v>0</v>
      </c>
      <c r="C589" s="1288"/>
      <c r="D589" s="1288"/>
      <c r="E589" s="1288"/>
      <c r="F589" s="1271"/>
      <c r="G589" s="1237" t="s">
        <v>788</v>
      </c>
      <c r="H589" s="1238" t="s">
        <v>788</v>
      </c>
      <c r="J589"/>
      <c r="K589" s="3"/>
      <c r="L589" s="3"/>
      <c r="M589" s="3"/>
      <c r="N589" s="3"/>
      <c r="O589"/>
      <c r="P589"/>
      <c r="Q589"/>
    </row>
    <row r="590" spans="1:17" s="766" customFormat="1" ht="18">
      <c r="A590"/>
      <c r="B590" s="1269"/>
      <c r="C590" s="55"/>
      <c r="D590" s="55"/>
      <c r="E590" s="55"/>
      <c r="F590" s="40"/>
      <c r="G590" s="41" t="str">
        <f>+G6</f>
        <v>March 31, 2023 (₹)</v>
      </c>
      <c r="H590" s="1272" t="str">
        <f>+H6</f>
        <v>March 31, 2022 (₹)</v>
      </c>
      <c r="J590"/>
      <c r="K590" s="3"/>
      <c r="L590" s="3"/>
      <c r="M590" s="3"/>
      <c r="N590" s="3"/>
      <c r="O590"/>
      <c r="P590"/>
      <c r="Q590"/>
    </row>
    <row r="591" spans="1:17" s="766" customFormat="1" ht="18">
      <c r="A591"/>
      <c r="B591" s="1283"/>
      <c r="C591" s="34"/>
      <c r="D591" s="34"/>
      <c r="E591" s="34"/>
      <c r="F591" s="24"/>
      <c r="G591" s="1589"/>
      <c r="H591" s="1590"/>
      <c r="J591"/>
      <c r="K591" s="3"/>
      <c r="L591" s="3"/>
      <c r="M591" s="3"/>
      <c r="N591" s="3"/>
      <c r="O591"/>
      <c r="P591"/>
      <c r="Q591"/>
    </row>
    <row r="592" spans="1:17" s="766" customFormat="1" ht="18">
      <c r="A592"/>
      <c r="B592" s="1348" t="s">
        <v>2817</v>
      </c>
      <c r="C592" s="34"/>
      <c r="D592" s="34"/>
      <c r="E592" s="34"/>
      <c r="F592" s="24"/>
      <c r="G592" s="32"/>
      <c r="H592" s="1265"/>
      <c r="J592"/>
      <c r="K592" s="3"/>
      <c r="L592" s="3"/>
      <c r="M592" s="3"/>
      <c r="N592" s="3"/>
      <c r="O592"/>
      <c r="P592"/>
      <c r="Q592"/>
    </row>
    <row r="593" spans="1:17" s="766" customFormat="1" ht="18">
      <c r="A593"/>
      <c r="B593" s="1283"/>
      <c r="C593" s="34"/>
      <c r="D593" s="34"/>
      <c r="E593" s="34"/>
      <c r="F593" s="24"/>
      <c r="G593" s="32"/>
      <c r="H593" s="1265"/>
      <c r="J593"/>
      <c r="K593" s="3"/>
      <c r="L593" s="3"/>
      <c r="M593" s="3"/>
      <c r="N593" s="3"/>
      <c r="O593"/>
      <c r="P593"/>
      <c r="Q593"/>
    </row>
    <row r="594" spans="1:17" s="766" customFormat="1" ht="18">
      <c r="A594"/>
      <c r="B594" s="1283" t="s">
        <v>1046</v>
      </c>
      <c r="C594" s="34"/>
      <c r="D594" s="34"/>
      <c r="E594" s="34"/>
      <c r="F594" s="24"/>
      <c r="G594" s="32"/>
      <c r="H594" s="1265"/>
      <c r="J594"/>
      <c r="K594" s="3"/>
      <c r="L594" s="3"/>
      <c r="M594" s="3"/>
      <c r="N594" s="3"/>
      <c r="O594"/>
      <c r="P594"/>
      <c r="Q594"/>
    </row>
    <row r="595" spans="1:17" s="766" customFormat="1" ht="18">
      <c r="A595"/>
      <c r="B595" s="1297" t="s">
        <v>1047</v>
      </c>
      <c r="C595" s="34"/>
      <c r="D595" s="34"/>
      <c r="E595" s="34"/>
      <c r="F595" s="24"/>
      <c r="G595" s="1903">
        <f>+'CLOSING STOCK 22-23'!J21/A1</f>
        <v>2538.1552700000002</v>
      </c>
      <c r="H595" s="1904">
        <f>160474427/A1</f>
        <v>1604.7442699999999</v>
      </c>
      <c r="J595"/>
      <c r="K595" s="3"/>
      <c r="L595" s="3"/>
      <c r="M595" s="3"/>
      <c r="N595" s="3"/>
      <c r="O595"/>
      <c r="P595"/>
      <c r="Q595"/>
    </row>
    <row r="596" spans="1:17" s="766" customFormat="1" ht="18">
      <c r="A596"/>
      <c r="B596" s="1297" t="s">
        <v>1048</v>
      </c>
      <c r="C596" s="34"/>
      <c r="D596" s="34"/>
      <c r="E596" s="34"/>
      <c r="F596" s="24"/>
      <c r="G596" s="1903">
        <v>0</v>
      </c>
      <c r="H596" s="1904">
        <f>4814932/A1</f>
        <v>48.149320000000003</v>
      </c>
      <c r="J596"/>
      <c r="K596" s="3"/>
      <c r="L596" s="3"/>
      <c r="M596" s="3"/>
      <c r="N596" s="3"/>
      <c r="O596"/>
      <c r="P596"/>
      <c r="Q596"/>
    </row>
    <row r="597" spans="1:17" s="766" customFormat="1" ht="18">
      <c r="A597"/>
      <c r="B597" s="1297" t="s">
        <v>1049</v>
      </c>
      <c r="C597" s="34"/>
      <c r="D597" s="34"/>
      <c r="E597" s="34"/>
      <c r="F597" s="24"/>
      <c r="G597" s="1903">
        <f>626391/A1</f>
        <v>6.2639100000000001</v>
      </c>
      <c r="H597" s="1904">
        <f>586974/A1</f>
        <v>5.8697400000000002</v>
      </c>
      <c r="J597"/>
      <c r="K597" s="3"/>
      <c r="L597" s="3"/>
      <c r="M597" s="3"/>
      <c r="N597" s="3"/>
      <c r="O597"/>
      <c r="P597"/>
      <c r="Q597"/>
    </row>
    <row r="598" spans="1:17" s="766" customFormat="1" ht="18">
      <c r="A598"/>
      <c r="B598" s="1283"/>
      <c r="C598" s="34"/>
      <c r="D598" s="34"/>
      <c r="E598" s="34"/>
      <c r="F598" s="24"/>
      <c r="G598" s="32"/>
      <c r="H598" s="1265"/>
      <c r="J598"/>
      <c r="K598" s="3"/>
      <c r="L598" s="3"/>
      <c r="M598" s="3"/>
      <c r="N598" s="3"/>
      <c r="O598"/>
      <c r="P598"/>
      <c r="Q598"/>
    </row>
    <row r="599" spans="1:17" s="766" customFormat="1" ht="18">
      <c r="A599"/>
      <c r="B599" s="1283" t="s">
        <v>1050</v>
      </c>
      <c r="C599" s="34"/>
      <c r="D599" s="34"/>
      <c r="E599" s="34"/>
      <c r="F599" s="24"/>
      <c r="G599" s="32"/>
      <c r="H599" s="1265"/>
      <c r="J599"/>
      <c r="K599" s="3"/>
      <c r="L599" s="3"/>
      <c r="M599" s="3"/>
      <c r="N599" s="3"/>
      <c r="O599"/>
      <c r="P599"/>
      <c r="Q599"/>
    </row>
    <row r="600" spans="1:17" s="766" customFormat="1" ht="18">
      <c r="A600"/>
      <c r="B600" s="1283" t="s">
        <v>1051</v>
      </c>
      <c r="C600" s="34"/>
      <c r="D600" s="34"/>
      <c r="E600" s="34"/>
      <c r="F600" s="24"/>
      <c r="G600" s="32"/>
      <c r="H600" s="1265"/>
      <c r="J600"/>
      <c r="K600" s="3"/>
      <c r="L600" s="3"/>
      <c r="M600" s="3"/>
      <c r="N600" s="3"/>
      <c r="O600"/>
      <c r="P600"/>
      <c r="Q600"/>
    </row>
    <row r="601" spans="1:17" s="766" customFormat="1" ht="18">
      <c r="A601"/>
      <c r="B601" s="1297" t="s">
        <v>1052</v>
      </c>
      <c r="C601" s="34"/>
      <c r="D601" s="34"/>
      <c r="E601" s="34"/>
      <c r="F601" s="24"/>
      <c r="G601" s="1903">
        <f>+'CLOSING STOCK 22-23'!P23/A1</f>
        <v>333.34557833638399</v>
      </c>
      <c r="H601" s="1904">
        <f>20524475/A1</f>
        <v>205.24475000000001</v>
      </c>
      <c r="J601"/>
      <c r="K601" s="3"/>
      <c r="L601" s="3"/>
      <c r="M601" s="3"/>
      <c r="N601" s="3"/>
      <c r="O601"/>
      <c r="P601"/>
      <c r="Q601"/>
    </row>
    <row r="602" spans="1:17" s="766" customFormat="1" ht="18">
      <c r="A602"/>
      <c r="B602" s="1297" t="s">
        <v>1053</v>
      </c>
      <c r="C602" s="34"/>
      <c r="D602" s="34"/>
      <c r="E602" s="34"/>
      <c r="F602" s="24"/>
      <c r="G602" s="1903">
        <f>+'CLOSING STOCK 22-23'!P27/A1</f>
        <v>12.16175</v>
      </c>
      <c r="H602" s="1904">
        <f>2975248/A1</f>
        <v>29.752479999999998</v>
      </c>
      <c r="J602"/>
      <c r="K602" s="3"/>
      <c r="L602" s="3"/>
      <c r="M602" s="3"/>
      <c r="N602" s="3"/>
      <c r="O602"/>
      <c r="P602"/>
      <c r="Q602"/>
    </row>
    <row r="603" spans="1:17" s="766" customFormat="1" ht="18">
      <c r="A603"/>
      <c r="B603" s="1283"/>
      <c r="C603" s="34"/>
      <c r="D603" s="34"/>
      <c r="E603" s="34"/>
      <c r="F603" s="24"/>
      <c r="G603" s="1903"/>
      <c r="H603" s="1904"/>
      <c r="J603"/>
      <c r="K603" s="3"/>
      <c r="L603" s="3"/>
      <c r="M603" s="3"/>
      <c r="N603" s="3"/>
      <c r="O603"/>
      <c r="P603"/>
      <c r="Q603"/>
    </row>
    <row r="604" spans="1:17" s="766" customFormat="1" ht="18">
      <c r="A604"/>
      <c r="B604" s="1283" t="s">
        <v>1054</v>
      </c>
      <c r="C604" s="34"/>
      <c r="D604" s="34"/>
      <c r="E604" s="34"/>
      <c r="F604" s="24"/>
      <c r="G604" s="1903"/>
      <c r="H604" s="1904"/>
      <c r="J604"/>
      <c r="K604" s="3"/>
      <c r="L604" s="3"/>
      <c r="M604" s="3"/>
      <c r="N604" s="3"/>
      <c r="O604"/>
      <c r="P604"/>
      <c r="Q604"/>
    </row>
    <row r="605" spans="1:17" s="766" customFormat="1" ht="18">
      <c r="A605"/>
      <c r="B605" s="1297" t="s">
        <v>1055</v>
      </c>
      <c r="C605" s="34"/>
      <c r="D605" s="34"/>
      <c r="E605" s="34"/>
      <c r="F605" s="24"/>
      <c r="G605" s="1903">
        <f>+'CLOSING STOCK 22-23'!P35/A1</f>
        <v>164.65226999999999</v>
      </c>
      <c r="H605" s="1904">
        <f>17088292/A1</f>
        <v>170.88292000000001</v>
      </c>
      <c r="J605"/>
      <c r="K605" s="3"/>
      <c r="L605" s="3"/>
      <c r="M605" s="3"/>
      <c r="N605" s="3"/>
      <c r="O605"/>
      <c r="P605"/>
      <c r="Q605"/>
    </row>
    <row r="606" spans="1:17" s="766" customFormat="1" ht="18">
      <c r="A606"/>
      <c r="B606" s="1283"/>
      <c r="C606" s="34"/>
      <c r="D606" s="34"/>
      <c r="E606" s="34"/>
      <c r="F606" s="24"/>
      <c r="G606" s="32"/>
      <c r="H606" s="1265"/>
      <c r="J606"/>
      <c r="K606" s="3"/>
      <c r="L606" s="3"/>
      <c r="M606" s="3"/>
      <c r="N606" s="3"/>
      <c r="O606"/>
      <c r="P606"/>
      <c r="Q606"/>
    </row>
    <row r="607" spans="1:17" s="766" customFormat="1" ht="18">
      <c r="A607"/>
      <c r="B607" s="2145" t="s">
        <v>1056</v>
      </c>
      <c r="C607" s="2146"/>
      <c r="D607" s="2146"/>
      <c r="E607" s="2146"/>
      <c r="F607" s="2149"/>
      <c r="G607" s="105"/>
      <c r="H607" s="1378"/>
      <c r="J607"/>
      <c r="K607" s="3"/>
      <c r="L607" s="3"/>
      <c r="M607" s="3"/>
      <c r="N607" s="3"/>
      <c r="O607"/>
      <c r="P607"/>
      <c r="Q607"/>
    </row>
    <row r="608" spans="1:17" s="766" customFormat="1" ht="18">
      <c r="A608"/>
      <c r="B608" s="1379" t="s">
        <v>1057</v>
      </c>
      <c r="C608" s="106"/>
      <c r="D608" s="106"/>
      <c r="E608" s="106"/>
      <c r="F608" s="107"/>
      <c r="G608" s="105"/>
      <c r="H608" s="1378"/>
      <c r="J608"/>
      <c r="K608" s="3"/>
      <c r="L608" s="3"/>
      <c r="M608" s="3"/>
      <c r="N608" s="3"/>
      <c r="O608"/>
      <c r="P608"/>
      <c r="Q608"/>
    </row>
    <row r="609" spans="1:17" s="766" customFormat="1" ht="18">
      <c r="A609"/>
      <c r="B609" s="1379" t="s">
        <v>1058</v>
      </c>
      <c r="C609" s="106"/>
      <c r="D609" s="106"/>
      <c r="E609" s="106"/>
      <c r="F609" s="107"/>
      <c r="G609" s="105"/>
      <c r="H609" s="1378"/>
      <c r="J609"/>
      <c r="K609" s="3"/>
      <c r="L609" s="3"/>
      <c r="M609" s="3"/>
      <c r="N609" s="3"/>
      <c r="O609"/>
      <c r="P609"/>
      <c r="Q609"/>
    </row>
    <row r="610" spans="1:17" s="766" customFormat="1" ht="18">
      <c r="A610"/>
      <c r="B610" s="1375" t="s">
        <v>1052</v>
      </c>
      <c r="C610" s="34"/>
      <c r="D610" s="34"/>
      <c r="E610" s="34"/>
      <c r="F610" s="24"/>
      <c r="G610" s="32"/>
      <c r="H610" s="1265"/>
      <c r="J610"/>
      <c r="K610" s="3"/>
      <c r="L610" s="3"/>
      <c r="M610" s="3"/>
      <c r="N610" s="3"/>
      <c r="O610"/>
      <c r="P610"/>
      <c r="Q610"/>
    </row>
    <row r="611" spans="1:17" s="766" customFormat="1" ht="18">
      <c r="A611"/>
      <c r="B611" s="1297" t="s">
        <v>1059</v>
      </c>
      <c r="C611" s="34"/>
      <c r="D611" s="34"/>
      <c r="E611" s="34"/>
      <c r="F611" s="24"/>
      <c r="G611" s="1903">
        <f>+'CLOSING STOCK 22-23'!M21/A1</f>
        <v>2546.7483900000002</v>
      </c>
      <c r="H611" s="1904">
        <f>183418092/A1</f>
        <v>1834.18092</v>
      </c>
      <c r="J611"/>
      <c r="K611" s="3"/>
      <c r="L611" s="3"/>
      <c r="M611" s="3"/>
      <c r="N611" s="3"/>
      <c r="O611"/>
      <c r="P611"/>
      <c r="Q611"/>
    </row>
    <row r="612" spans="1:17" s="766" customFormat="1" ht="18">
      <c r="A612"/>
      <c r="B612" s="1297" t="s">
        <v>1060</v>
      </c>
      <c r="C612" s="34"/>
      <c r="D612" s="34"/>
      <c r="E612" s="34"/>
      <c r="F612" s="24"/>
      <c r="G612" s="108">
        <f>+G611/(G611+G621)</f>
        <v>0.33546893070860256</v>
      </c>
      <c r="H612" s="1380">
        <f>+H611/(H611+H621)</f>
        <v>0.22408172870255044</v>
      </c>
      <c r="J612"/>
      <c r="K612" s="3"/>
      <c r="L612" s="3"/>
      <c r="M612" s="3"/>
      <c r="N612" s="3"/>
      <c r="O612"/>
      <c r="P612"/>
      <c r="Q612"/>
    </row>
    <row r="613" spans="1:17" s="766" customFormat="1" ht="18">
      <c r="A613"/>
      <c r="B613" s="1283"/>
      <c r="C613" s="34"/>
      <c r="D613" s="34"/>
      <c r="E613" s="34"/>
      <c r="F613" s="24"/>
      <c r="G613" s="32"/>
      <c r="H613" s="1265"/>
      <c r="J613"/>
      <c r="K613" s="3"/>
      <c r="L613" s="3"/>
      <c r="M613" s="3"/>
      <c r="N613" s="3"/>
      <c r="O613"/>
      <c r="P613"/>
      <c r="Q613"/>
    </row>
    <row r="614" spans="1:17" s="766" customFormat="1" ht="18">
      <c r="A614"/>
      <c r="B614" s="1375" t="s">
        <v>1049</v>
      </c>
      <c r="C614" s="34"/>
      <c r="D614" s="34"/>
      <c r="E614" s="34"/>
      <c r="F614" s="24"/>
      <c r="G614" s="32"/>
      <c r="H614" s="1265"/>
      <c r="J614"/>
      <c r="K614" s="3"/>
      <c r="L614" s="3"/>
      <c r="M614" s="3"/>
      <c r="N614" s="3"/>
      <c r="O614"/>
      <c r="P614"/>
      <c r="Q614"/>
    </row>
    <row r="615" spans="1:17" s="766" customFormat="1" ht="18">
      <c r="A615"/>
      <c r="B615" s="1297" t="s">
        <v>1059</v>
      </c>
      <c r="C615" s="34"/>
      <c r="D615" s="34"/>
      <c r="E615" s="34"/>
      <c r="F615" s="24"/>
      <c r="G615" s="1903">
        <f>+G597</f>
        <v>6.2639100000000001</v>
      </c>
      <c r="H615" s="1904">
        <f>+H597</f>
        <v>5.8697400000000002</v>
      </c>
      <c r="J615"/>
      <c r="K615" s="3"/>
      <c r="L615" s="3"/>
      <c r="M615" s="3"/>
      <c r="N615" s="3"/>
      <c r="O615"/>
      <c r="P615"/>
      <c r="Q615"/>
    </row>
    <row r="616" spans="1:17" s="766" customFormat="1" ht="18">
      <c r="A616"/>
      <c r="B616" s="1297" t="s">
        <v>1060</v>
      </c>
      <c r="C616" s="34"/>
      <c r="D616" s="34"/>
      <c r="E616" s="34"/>
      <c r="F616" s="24"/>
      <c r="G616" s="108">
        <f>+G615/(G615+G629)</f>
        <v>4.5735501367238793E-2</v>
      </c>
      <c r="H616" s="1380">
        <f>+H615/(H615+H629)</f>
        <v>3.3177325789623797E-2</v>
      </c>
      <c r="J616"/>
      <c r="K616" s="3"/>
      <c r="L616" s="3"/>
      <c r="M616" s="3"/>
      <c r="N616" s="3"/>
      <c r="O616"/>
      <c r="P616"/>
      <c r="Q616"/>
    </row>
    <row r="617" spans="1:17" s="766" customFormat="1" ht="18">
      <c r="A617"/>
      <c r="B617" s="1283"/>
      <c r="C617" s="34"/>
      <c r="D617" s="34"/>
      <c r="E617" s="34"/>
      <c r="F617" s="24"/>
      <c r="G617" s="32"/>
      <c r="H617" s="1265"/>
      <c r="J617"/>
      <c r="K617" s="3"/>
      <c r="L617" s="3"/>
      <c r="M617" s="3"/>
      <c r="N617" s="3"/>
      <c r="O617"/>
      <c r="P617"/>
      <c r="Q617"/>
    </row>
    <row r="618" spans="1:17" s="766" customFormat="1" ht="18">
      <c r="A618"/>
      <c r="B618" s="1379" t="s">
        <v>1061</v>
      </c>
      <c r="C618" s="106"/>
      <c r="D618" s="106"/>
      <c r="E618" s="106"/>
      <c r="F618" s="107"/>
      <c r="G618" s="105"/>
      <c r="H618" s="1378"/>
      <c r="J618"/>
      <c r="K618" s="3"/>
      <c r="L618" s="3"/>
      <c r="M618" s="3"/>
      <c r="N618" s="3"/>
      <c r="O618"/>
      <c r="P618"/>
      <c r="Q618"/>
    </row>
    <row r="619" spans="1:17" s="766" customFormat="1" ht="18">
      <c r="A619"/>
      <c r="B619" s="1379" t="s">
        <v>1058</v>
      </c>
      <c r="C619" s="106"/>
      <c r="D619" s="106"/>
      <c r="E619" s="106"/>
      <c r="F619" s="107"/>
      <c r="G619" s="105"/>
      <c r="H619" s="1378"/>
      <c r="J619"/>
      <c r="K619" s="3"/>
      <c r="L619" s="3"/>
      <c r="M619" s="3"/>
      <c r="N619" s="3"/>
      <c r="O619"/>
      <c r="P619"/>
      <c r="Q619"/>
    </row>
    <row r="620" spans="1:17" s="766" customFormat="1" ht="18">
      <c r="A620"/>
      <c r="B620" s="1375" t="s">
        <v>1052</v>
      </c>
      <c r="C620" s="34"/>
      <c r="D620" s="34"/>
      <c r="E620" s="34"/>
      <c r="F620" s="24"/>
      <c r="G620" s="32"/>
      <c r="H620" s="1265"/>
      <c r="J620"/>
      <c r="K620" s="3"/>
      <c r="L620" s="3"/>
      <c r="M620" s="3"/>
      <c r="N620" s="3"/>
      <c r="O620"/>
      <c r="P620"/>
      <c r="Q620"/>
    </row>
    <row r="621" spans="1:17" s="766" customFormat="1" ht="18">
      <c r="A621"/>
      <c r="B621" s="1297" t="s">
        <v>1059</v>
      </c>
      <c r="C621" s="34"/>
      <c r="D621" s="34"/>
      <c r="E621" s="34"/>
      <c r="F621" s="24"/>
      <c r="G621" s="1903">
        <f>+'CLOSING STOCK 22-23'!M9/A1</f>
        <v>5044.8589300000003</v>
      </c>
      <c r="H621" s="1904">
        <f>635114026/A1</f>
        <v>6351.1402600000001</v>
      </c>
      <c r="J621"/>
      <c r="K621" s="3"/>
      <c r="L621" s="3"/>
      <c r="M621" s="3"/>
      <c r="N621" s="3"/>
      <c r="O621"/>
      <c r="P621"/>
      <c r="Q621"/>
    </row>
    <row r="622" spans="1:17" s="766" customFormat="1" ht="18">
      <c r="A622"/>
      <c r="B622" s="1297" t="s">
        <v>1060</v>
      </c>
      <c r="C622" s="34"/>
      <c r="D622" s="34"/>
      <c r="E622" s="34"/>
      <c r="F622" s="24"/>
      <c r="G622" s="108">
        <f>+G621/(G611+G621)</f>
        <v>0.66453106929139738</v>
      </c>
      <c r="H622" s="1380">
        <f>+H621/(H611+H621)</f>
        <v>0.77591827129744961</v>
      </c>
      <c r="J622"/>
      <c r="K622" s="3"/>
      <c r="L622" s="3"/>
      <c r="M622" s="3"/>
      <c r="N622" s="3"/>
      <c r="O622"/>
      <c r="P622"/>
      <c r="Q622"/>
    </row>
    <row r="623" spans="1:17" s="766" customFormat="1" ht="18">
      <c r="A623"/>
      <c r="B623" s="1283"/>
      <c r="C623" s="34"/>
      <c r="D623" s="34"/>
      <c r="E623" s="34"/>
      <c r="F623" s="24"/>
      <c r="G623" s="32"/>
      <c r="H623" s="1265"/>
      <c r="J623"/>
      <c r="K623" s="3"/>
      <c r="L623" s="3"/>
      <c r="M623" s="3"/>
      <c r="N623" s="3"/>
      <c r="O623"/>
      <c r="P623"/>
      <c r="Q623"/>
    </row>
    <row r="624" spans="1:17" s="766" customFormat="1" ht="18">
      <c r="A624"/>
      <c r="B624" s="1375" t="s">
        <v>1053</v>
      </c>
      <c r="C624" s="34"/>
      <c r="D624" s="34"/>
      <c r="E624" s="34"/>
      <c r="F624" s="24"/>
      <c r="G624" s="32"/>
      <c r="H624" s="1265"/>
      <c r="J624"/>
      <c r="K624" s="3"/>
      <c r="L624" s="3"/>
      <c r="M624" s="3"/>
      <c r="N624" s="3"/>
      <c r="O624"/>
      <c r="P624"/>
      <c r="Q624"/>
    </row>
    <row r="625" spans="1:17" s="766" customFormat="1" ht="18">
      <c r="A625"/>
      <c r="B625" s="1297" t="s">
        <v>1059</v>
      </c>
      <c r="C625" s="34"/>
      <c r="D625" s="34"/>
      <c r="E625" s="34"/>
      <c r="F625" s="24"/>
      <c r="G625" s="103">
        <f>+'CLOSING STOCK 22-23'!M27/A1</f>
        <v>538.61149</v>
      </c>
      <c r="H625" s="1377">
        <f>48552016/A1</f>
        <v>485.52015999999998</v>
      </c>
      <c r="J625"/>
      <c r="K625" s="3"/>
      <c r="L625" s="3"/>
      <c r="M625" s="3"/>
      <c r="N625" s="3"/>
      <c r="O625"/>
      <c r="P625"/>
      <c r="Q625"/>
    </row>
    <row r="626" spans="1:17" s="766" customFormat="1" ht="18">
      <c r="A626"/>
      <c r="B626" s="1297" t="s">
        <v>1060</v>
      </c>
      <c r="C626" s="34"/>
      <c r="D626" s="34"/>
      <c r="E626" s="34"/>
      <c r="F626" s="24"/>
      <c r="G626" s="108">
        <v>1</v>
      </c>
      <c r="H626" s="1380">
        <v>1</v>
      </c>
      <c r="J626"/>
      <c r="K626" s="3"/>
      <c r="L626" s="3"/>
      <c r="M626" s="3"/>
      <c r="N626" s="3"/>
      <c r="O626"/>
      <c r="P626"/>
      <c r="Q626"/>
    </row>
    <row r="627" spans="1:17" s="766" customFormat="1" ht="18">
      <c r="A627"/>
      <c r="B627" s="1283"/>
      <c r="C627" s="34"/>
      <c r="D627" s="34"/>
      <c r="E627" s="34"/>
      <c r="F627" s="24"/>
      <c r="G627" s="32"/>
      <c r="H627" s="1265"/>
      <c r="J627"/>
      <c r="K627" s="3"/>
      <c r="L627" s="3"/>
      <c r="M627" s="3"/>
      <c r="N627" s="3"/>
      <c r="O627"/>
      <c r="P627"/>
      <c r="Q627"/>
    </row>
    <row r="628" spans="1:17" s="766" customFormat="1" ht="18">
      <c r="A628"/>
      <c r="B628" s="1375" t="s">
        <v>1049</v>
      </c>
      <c r="C628" s="34"/>
      <c r="D628" s="34"/>
      <c r="E628" s="34"/>
      <c r="F628" s="24"/>
      <c r="G628" s="32"/>
      <c r="H628" s="1265"/>
      <c r="J628"/>
      <c r="K628" s="3"/>
      <c r="L628" s="3"/>
      <c r="M628" s="3"/>
      <c r="N628" s="3"/>
      <c r="O628"/>
      <c r="P628"/>
      <c r="Q628"/>
    </row>
    <row r="629" spans="1:17" s="766" customFormat="1" ht="18">
      <c r="A629"/>
      <c r="B629" s="1297" t="s">
        <v>1059</v>
      </c>
      <c r="C629" s="34"/>
      <c r="D629" s="34"/>
      <c r="E629" s="34"/>
      <c r="F629" s="24"/>
      <c r="G629" s="103">
        <f>+G525</f>
        <v>130.69555940000001</v>
      </c>
      <c r="H629" s="1377">
        <f>+H525</f>
        <v>171.05048670000002</v>
      </c>
      <c r="J629"/>
      <c r="K629" s="3"/>
      <c r="L629" s="3"/>
      <c r="M629" s="3"/>
      <c r="N629" s="3"/>
      <c r="O629"/>
      <c r="P629"/>
      <c r="Q629"/>
    </row>
    <row r="630" spans="1:17" s="766" customFormat="1" ht="18">
      <c r="A630"/>
      <c r="B630" s="1297" t="s">
        <v>1060</v>
      </c>
      <c r="C630" s="34"/>
      <c r="D630" s="34"/>
      <c r="E630" s="34"/>
      <c r="F630" s="24"/>
      <c r="G630" s="108">
        <f>+G629/(G629+G615)</f>
        <v>0.95426449863276119</v>
      </c>
      <c r="H630" s="1380">
        <f>+H629/(H629+H615)</f>
        <v>0.96682267421037615</v>
      </c>
      <c r="J630"/>
      <c r="K630" s="3"/>
      <c r="L630" s="3"/>
      <c r="M630" s="3"/>
      <c r="N630" s="3"/>
      <c r="O630"/>
      <c r="P630"/>
      <c r="Q630"/>
    </row>
    <row r="631" spans="1:17" s="766" customFormat="1" ht="18">
      <c r="A631"/>
      <c r="B631" s="1283"/>
      <c r="C631" s="34"/>
      <c r="D631" s="34"/>
      <c r="E631" s="34"/>
      <c r="F631" s="24"/>
      <c r="G631" s="32"/>
      <c r="H631" s="1265"/>
      <c r="J631"/>
      <c r="K631" s="3"/>
      <c r="L631" s="3"/>
      <c r="M631" s="3"/>
      <c r="N631" s="3"/>
      <c r="O631"/>
      <c r="P631"/>
      <c r="Q631"/>
    </row>
    <row r="632" spans="1:17" s="766" customFormat="1" ht="18">
      <c r="A632"/>
      <c r="B632" s="1283" t="s">
        <v>1062</v>
      </c>
      <c r="C632" s="34"/>
      <c r="D632" s="34"/>
      <c r="E632" s="34"/>
      <c r="F632" s="24"/>
      <c r="G632" s="32"/>
      <c r="H632" s="1265"/>
      <c r="J632"/>
      <c r="K632" s="3"/>
      <c r="L632" s="3"/>
      <c r="M632" s="3"/>
      <c r="N632" s="3"/>
      <c r="O632"/>
      <c r="P632"/>
      <c r="Q632"/>
    </row>
    <row r="633" spans="1:17" s="766" customFormat="1" ht="18">
      <c r="A633"/>
      <c r="B633" s="1283" t="s">
        <v>1055</v>
      </c>
      <c r="C633" s="34"/>
      <c r="D633" s="34"/>
      <c r="E633" s="34"/>
      <c r="F633" s="24"/>
      <c r="G633" s="32"/>
      <c r="H633" s="1265"/>
      <c r="J633"/>
      <c r="K633" s="3"/>
      <c r="L633" s="3"/>
      <c r="M633" s="3"/>
      <c r="N633" s="3"/>
      <c r="O633"/>
      <c r="P633"/>
      <c r="Q633"/>
    </row>
    <row r="634" spans="1:17" s="766" customFormat="1" ht="18">
      <c r="A634"/>
      <c r="B634" s="1375" t="s">
        <v>1063</v>
      </c>
      <c r="C634" s="34"/>
      <c r="D634" s="34"/>
      <c r="E634" s="34"/>
      <c r="F634" s="24"/>
      <c r="G634" s="32"/>
      <c r="H634" s="1265"/>
      <c r="J634"/>
      <c r="K634" s="3"/>
      <c r="L634" s="3"/>
      <c r="M634" s="3"/>
      <c r="N634" s="3"/>
      <c r="O634"/>
      <c r="P634"/>
      <c r="Q634"/>
    </row>
    <row r="635" spans="1:17" s="766" customFormat="1" ht="18">
      <c r="A635"/>
      <c r="B635" s="1297" t="s">
        <v>1055</v>
      </c>
      <c r="C635" s="34"/>
      <c r="D635" s="34"/>
      <c r="E635" s="34"/>
      <c r="F635" s="24"/>
      <c r="G635" s="103">
        <f>+G488</f>
        <v>10523.1770242</v>
      </c>
      <c r="H635" s="1377">
        <f>+H488</f>
        <v>11240.2151075</v>
      </c>
      <c r="J635"/>
      <c r="K635" s="3"/>
      <c r="L635" s="3"/>
      <c r="M635" s="3"/>
      <c r="N635" s="3"/>
      <c r="O635"/>
      <c r="P635"/>
      <c r="Q635"/>
    </row>
    <row r="636" spans="1:17" s="766" customFormat="1" ht="18.600000000000001" thickBot="1">
      <c r="A636"/>
      <c r="B636" s="1442"/>
      <c r="C636" s="1233"/>
      <c r="D636" s="1233"/>
      <c r="E636" s="1233"/>
      <c r="F636" s="1443"/>
      <c r="G636" s="1444"/>
      <c r="H636" s="1439"/>
      <c r="J636"/>
      <c r="K636" s="3"/>
      <c r="L636" s="3"/>
      <c r="M636" s="3"/>
      <c r="N636" s="3"/>
      <c r="O636"/>
      <c r="P636"/>
      <c r="Q636"/>
    </row>
    <row r="637" spans="1:17" s="766" customFormat="1" ht="18">
      <c r="A637"/>
      <c r="B637" s="2119" t="s">
        <v>785</v>
      </c>
      <c r="C637" s="2120"/>
      <c r="D637" s="2120"/>
      <c r="E637" s="2120"/>
      <c r="F637" s="2120"/>
      <c r="G637" s="2120"/>
      <c r="H637" s="2121"/>
      <c r="J637"/>
      <c r="K637" s="3"/>
      <c r="L637" s="3"/>
      <c r="M637" s="3"/>
      <c r="N637" s="3"/>
      <c r="O637"/>
      <c r="P637"/>
      <c r="Q637"/>
    </row>
    <row r="638" spans="1:17" s="766" customFormat="1" ht="18">
      <c r="A638"/>
      <c r="B638" s="2142" t="s">
        <v>2241</v>
      </c>
      <c r="C638" s="2143"/>
      <c r="D638" s="2143"/>
      <c r="E638" s="2143"/>
      <c r="F638" s="2143"/>
      <c r="G638" s="2143"/>
      <c r="H638" s="2144"/>
      <c r="J638"/>
      <c r="K638" s="3"/>
      <c r="L638" s="3"/>
      <c r="M638" s="3"/>
      <c r="N638" s="3"/>
      <c r="O638"/>
      <c r="P638"/>
      <c r="Q638"/>
    </row>
    <row r="639" spans="1:17" s="766" customFormat="1" ht="18">
      <c r="A639"/>
      <c r="B639" s="1850"/>
      <c r="C639" s="1848"/>
      <c r="D639" s="1848"/>
      <c r="E639" s="1848"/>
      <c r="F639" s="1848"/>
      <c r="G639" s="2100" t="s">
        <v>3123</v>
      </c>
      <c r="H639" s="2101"/>
      <c r="J639"/>
      <c r="K639" s="3"/>
      <c r="L639" s="3"/>
      <c r="M639" s="3"/>
      <c r="N639" s="3"/>
      <c r="O639"/>
      <c r="P639"/>
      <c r="Q639"/>
    </row>
    <row r="640" spans="1:17" s="766" customFormat="1" ht="18">
      <c r="A640"/>
      <c r="B640" s="1396" t="s">
        <v>0</v>
      </c>
      <c r="C640" s="1411"/>
      <c r="D640" s="1411"/>
      <c r="E640" s="1411"/>
      <c r="F640" s="1594"/>
      <c r="G640" s="1237" t="s">
        <v>840</v>
      </c>
      <c r="H640" s="1238" t="s">
        <v>840</v>
      </c>
      <c r="J640"/>
      <c r="K640" s="3"/>
      <c r="L640" s="3"/>
      <c r="M640" s="3"/>
      <c r="N640" s="3"/>
      <c r="O640"/>
      <c r="P640"/>
      <c r="Q640"/>
    </row>
    <row r="641" spans="1:17" s="766" customFormat="1" ht="18">
      <c r="A641"/>
      <c r="B641" s="1957"/>
      <c r="C641" s="55"/>
      <c r="D641" s="55"/>
      <c r="E641" s="55"/>
      <c r="F641" s="40"/>
      <c r="G641" s="16" t="str">
        <f>+G6</f>
        <v>March 31, 2023 (₹)</v>
      </c>
      <c r="H641" s="1240" t="str">
        <f>+H6</f>
        <v>March 31, 2022 (₹)</v>
      </c>
      <c r="J641"/>
      <c r="K641" s="3"/>
      <c r="L641" s="3"/>
      <c r="M641" s="3"/>
      <c r="N641" s="3"/>
      <c r="O641"/>
      <c r="P641"/>
      <c r="Q641"/>
    </row>
    <row r="642" spans="1:17" s="766" customFormat="1" ht="18">
      <c r="A642"/>
      <c r="B642" s="1310" t="s">
        <v>2818</v>
      </c>
      <c r="C642" s="34"/>
      <c r="D642" s="34"/>
      <c r="E642" s="34"/>
      <c r="F642" s="24"/>
      <c r="H642" s="1956"/>
      <c r="J642"/>
      <c r="K642" s="3"/>
      <c r="L642" s="3"/>
      <c r="M642" s="3"/>
      <c r="N642" s="3"/>
      <c r="O642"/>
      <c r="P642"/>
      <c r="Q642"/>
    </row>
    <row r="643" spans="1:17" s="766" customFormat="1" ht="18">
      <c r="A643"/>
      <c r="B643" s="1297" t="s">
        <v>1064</v>
      </c>
      <c r="C643" s="34"/>
      <c r="D643" s="34"/>
      <c r="E643" s="34"/>
      <c r="F643" s="24"/>
      <c r="G643" s="1863">
        <f>+G536</f>
        <v>2.75</v>
      </c>
      <c r="H643" s="1281">
        <f>+H536</f>
        <v>2.75</v>
      </c>
      <c r="J643"/>
      <c r="K643" s="3"/>
      <c r="L643" s="3"/>
      <c r="M643" s="3"/>
      <c r="N643" s="3"/>
      <c r="O643"/>
      <c r="P643"/>
      <c r="Q643"/>
    </row>
    <row r="644" spans="1:17" s="766" customFormat="1" ht="18">
      <c r="A644"/>
      <c r="B644" s="1297" t="s">
        <v>61</v>
      </c>
      <c r="C644" s="34"/>
      <c r="D644" s="34"/>
      <c r="E644" s="34"/>
      <c r="F644" s="24"/>
      <c r="G644" s="1867">
        <v>0</v>
      </c>
      <c r="H644" s="1868">
        <v>0</v>
      </c>
      <c r="J644"/>
      <c r="K644" s="3"/>
      <c r="L644" s="3"/>
      <c r="M644" s="3"/>
      <c r="N644" s="3"/>
      <c r="O644"/>
      <c r="P644"/>
      <c r="Q644"/>
    </row>
    <row r="645" spans="1:17" s="766" customFormat="1" ht="18">
      <c r="A645"/>
      <c r="B645" s="1824"/>
      <c r="C645" s="1351"/>
      <c r="D645" s="1351"/>
      <c r="E645" s="1351"/>
      <c r="F645" s="2080"/>
      <c r="G645" s="2075">
        <f>+G643+G644</f>
        <v>2.75</v>
      </c>
      <c r="H645" s="2076">
        <f>+H643+H644</f>
        <v>2.75</v>
      </c>
      <c r="J645"/>
      <c r="K645" s="3"/>
      <c r="L645" s="3"/>
      <c r="M645" s="3"/>
      <c r="N645" s="3"/>
      <c r="O645"/>
      <c r="P645"/>
      <c r="Q645"/>
    </row>
    <row r="646" spans="1:17" s="766" customFormat="1" ht="18">
      <c r="A646"/>
      <c r="B646" s="1348" t="s">
        <v>2819</v>
      </c>
      <c r="C646" s="34"/>
      <c r="D646" s="34"/>
      <c r="E646" s="34"/>
      <c r="F646" s="1999"/>
      <c r="G646" s="2077"/>
      <c r="H646" s="2078"/>
      <c r="J646"/>
      <c r="K646" s="3"/>
      <c r="L646" s="3"/>
      <c r="M646" s="3"/>
      <c r="N646" s="3"/>
      <c r="O646"/>
      <c r="P646"/>
      <c r="Q646"/>
    </row>
    <row r="647" spans="1:17" s="766" customFormat="1" ht="18">
      <c r="A647"/>
      <c r="B647" s="1297" t="s">
        <v>2918</v>
      </c>
      <c r="C647" s="34"/>
      <c r="D647" s="34"/>
      <c r="E647" s="34"/>
      <c r="F647" s="1999"/>
      <c r="G647" s="2079"/>
      <c r="H647" s="1270"/>
      <c r="J647"/>
      <c r="K647" s="3"/>
      <c r="L647" s="3"/>
      <c r="M647" s="3"/>
      <c r="N647" s="3"/>
      <c r="O647"/>
      <c r="P647"/>
      <c r="Q647"/>
    </row>
    <row r="648" spans="1:17" s="766" customFormat="1" ht="18">
      <c r="A648"/>
      <c r="B648" s="2267" t="s">
        <v>532</v>
      </c>
      <c r="C648" s="2269"/>
      <c r="D648" s="2269"/>
      <c r="E648" s="2269"/>
      <c r="F648" s="2271" t="s">
        <v>1065</v>
      </c>
      <c r="G648" s="1237" t="s">
        <v>840</v>
      </c>
      <c r="H648" s="1238" t="s">
        <v>840</v>
      </c>
      <c r="J648"/>
      <c r="K648" s="3"/>
      <c r="L648" s="3"/>
      <c r="M648" s="3"/>
      <c r="N648" s="3"/>
      <c r="O648"/>
      <c r="P648"/>
      <c r="Q648"/>
    </row>
    <row r="649" spans="1:17" s="766" customFormat="1" ht="18">
      <c r="A649"/>
      <c r="B649" s="2268"/>
      <c r="C649" s="2270"/>
      <c r="D649" s="2270"/>
      <c r="E649" s="2270"/>
      <c r="F649" s="2272"/>
      <c r="G649" s="16" t="str">
        <f>+G641</f>
        <v>March 31, 2023 (₹)</v>
      </c>
      <c r="H649" s="1240" t="str">
        <f>+H641</f>
        <v>March 31, 2022 (₹)</v>
      </c>
      <c r="J649"/>
      <c r="K649" s="3"/>
      <c r="L649" s="3"/>
      <c r="M649" s="3"/>
      <c r="N649" s="3"/>
      <c r="O649"/>
      <c r="P649"/>
      <c r="Q649"/>
    </row>
    <row r="650" spans="1:17" s="766" customFormat="1" ht="18">
      <c r="A650"/>
      <c r="B650" s="1283" t="s">
        <v>15</v>
      </c>
      <c r="C650" s="34"/>
      <c r="D650" s="34"/>
      <c r="E650" s="34"/>
      <c r="F650" s="109"/>
      <c r="G650" s="20"/>
      <c r="H650" s="1246"/>
      <c r="J650"/>
      <c r="K650" s="3"/>
      <c r="L650" s="3"/>
      <c r="M650" s="3"/>
      <c r="N650" s="3"/>
      <c r="O650"/>
      <c r="P650"/>
      <c r="Q650"/>
    </row>
    <row r="651" spans="1:17" s="766" customFormat="1" ht="18">
      <c r="A651"/>
      <c r="B651" s="1297" t="s">
        <v>1066</v>
      </c>
      <c r="C651" s="34"/>
      <c r="D651" s="34"/>
      <c r="E651" s="34"/>
      <c r="F651" s="110">
        <v>6</v>
      </c>
      <c r="G651" s="103">
        <f t="shared" ref="G651:H653" si="10">+G18</f>
        <v>1158.0224214</v>
      </c>
      <c r="H651" s="1377">
        <f t="shared" si="10"/>
        <v>1665.5474643</v>
      </c>
      <c r="J651"/>
      <c r="K651" s="3"/>
      <c r="L651" s="3"/>
      <c r="M651" s="3"/>
      <c r="N651" s="3"/>
      <c r="O651"/>
      <c r="P651"/>
      <c r="Q651"/>
    </row>
    <row r="652" spans="1:17" s="766" customFormat="1" ht="18">
      <c r="A652"/>
      <c r="B652" s="1297" t="s">
        <v>1067</v>
      </c>
      <c r="C652" s="34"/>
      <c r="D652" s="34"/>
      <c r="E652" s="34"/>
      <c r="F652" s="110">
        <v>7</v>
      </c>
      <c r="G652" s="103">
        <f t="shared" si="10"/>
        <v>2.3977564</v>
      </c>
      <c r="H652" s="1377">
        <f t="shared" si="10"/>
        <v>0.79146640000000001</v>
      </c>
      <c r="J652"/>
      <c r="K652" s="3"/>
      <c r="L652" s="3"/>
      <c r="M652" s="3"/>
      <c r="N652" s="3"/>
      <c r="O652"/>
      <c r="P652"/>
      <c r="Q652"/>
    </row>
    <row r="653" spans="1:17" s="766" customFormat="1" ht="18">
      <c r="A653"/>
      <c r="B653" s="1297" t="s">
        <v>1068</v>
      </c>
      <c r="C653" s="34"/>
      <c r="D653" s="34"/>
      <c r="E653" s="34"/>
      <c r="F653" s="110">
        <v>8</v>
      </c>
      <c r="G653" s="1857">
        <f t="shared" si="10"/>
        <v>74.27</v>
      </c>
      <c r="H653" s="1858">
        <f t="shared" si="10"/>
        <v>83.625</v>
      </c>
      <c r="J653"/>
      <c r="K653" s="3"/>
      <c r="L653" s="3"/>
      <c r="M653" s="3"/>
      <c r="N653" s="3"/>
      <c r="O653"/>
      <c r="P653"/>
      <c r="Q653"/>
    </row>
    <row r="654" spans="1:17" s="766" customFormat="1" ht="18">
      <c r="A654"/>
      <c r="B654" s="1297"/>
      <c r="C654" s="34"/>
      <c r="D654" s="34"/>
      <c r="E654" s="34"/>
      <c r="F654" s="110"/>
      <c r="G654" s="1889">
        <f>+SUM(G651:G653)</f>
        <v>1234.6901777999999</v>
      </c>
      <c r="H654" s="1890">
        <f>+SUM(H651:H653)</f>
        <v>1749.9639307</v>
      </c>
      <c r="J654"/>
      <c r="K654" s="3"/>
      <c r="L654" s="3"/>
      <c r="M654" s="3"/>
      <c r="N654" s="3"/>
      <c r="O654"/>
      <c r="P654"/>
      <c r="Q654"/>
    </row>
    <row r="655" spans="1:17" s="766" customFormat="1" ht="18">
      <c r="A655"/>
      <c r="B655" s="1283" t="s">
        <v>810</v>
      </c>
      <c r="C655" s="34"/>
      <c r="D655" s="34"/>
      <c r="E655" s="34"/>
      <c r="F655" s="110"/>
      <c r="G655" s="81"/>
      <c r="H655" s="1324"/>
      <c r="J655"/>
      <c r="K655" s="3"/>
      <c r="L655" s="3"/>
      <c r="M655" s="3"/>
      <c r="N655" s="3"/>
      <c r="O655"/>
      <c r="P655"/>
      <c r="Q655"/>
    </row>
    <row r="656" spans="1:17" s="766" customFormat="1" ht="18">
      <c r="A656"/>
      <c r="B656" s="1297" t="s">
        <v>1069</v>
      </c>
      <c r="C656" s="34"/>
      <c r="D656" s="34"/>
      <c r="E656" s="34"/>
      <c r="F656" s="110">
        <v>15</v>
      </c>
      <c r="G656" s="1857">
        <f t="shared" ref="G656:H658" si="11">+G40</f>
        <v>1012.7469328</v>
      </c>
      <c r="H656" s="1858">
        <f t="shared" si="11"/>
        <v>772.09079569999994</v>
      </c>
      <c r="J656"/>
      <c r="K656" s="3"/>
      <c r="L656" s="3"/>
      <c r="M656" s="3"/>
      <c r="N656" s="3"/>
      <c r="O656"/>
      <c r="P656"/>
      <c r="Q656"/>
    </row>
    <row r="657" spans="1:17" s="766" customFormat="1" ht="18">
      <c r="A657"/>
      <c r="B657" s="1297" t="s">
        <v>1070</v>
      </c>
      <c r="C657" s="34"/>
      <c r="D657" s="34"/>
      <c r="E657" s="34"/>
      <c r="F657" s="110">
        <v>16</v>
      </c>
      <c r="G657" s="1857">
        <f t="shared" si="11"/>
        <v>915.97921990151008</v>
      </c>
      <c r="H657" s="1858">
        <f t="shared" si="11"/>
        <v>873.56478839999988</v>
      </c>
      <c r="J657"/>
      <c r="K657" s="3"/>
      <c r="L657" s="3"/>
      <c r="M657" s="3"/>
      <c r="N657" s="3"/>
      <c r="O657"/>
      <c r="P657"/>
      <c r="Q657"/>
    </row>
    <row r="658" spans="1:17" s="766" customFormat="1" ht="18">
      <c r="A658"/>
      <c r="B658" s="1297" t="s">
        <v>1071</v>
      </c>
      <c r="C658" s="34"/>
      <c r="D658" s="34"/>
      <c r="E658" s="34"/>
      <c r="F658" s="110">
        <v>17</v>
      </c>
      <c r="G658" s="1857">
        <f t="shared" si="11"/>
        <v>63.976079999999996</v>
      </c>
      <c r="H658" s="1858">
        <f t="shared" si="11"/>
        <v>11.52229</v>
      </c>
      <c r="J658"/>
      <c r="K658" s="3"/>
      <c r="L658" s="3"/>
      <c r="M658" s="3"/>
      <c r="N658" s="3"/>
      <c r="O658"/>
      <c r="P658"/>
      <c r="Q658"/>
    </row>
    <row r="659" spans="1:17" s="766" customFormat="1" ht="18">
      <c r="A659"/>
      <c r="B659" s="2150" t="s">
        <v>911</v>
      </c>
      <c r="C659" s="2151"/>
      <c r="D659" s="2151"/>
      <c r="E659" s="2151"/>
      <c r="F659" s="2152"/>
      <c r="G659" s="1889">
        <f>+SUM(G656:G658)</f>
        <v>1992.70223270151</v>
      </c>
      <c r="H659" s="1890">
        <f>+SUM(H656:H658)</f>
        <v>1657.1778741000001</v>
      </c>
      <c r="J659"/>
      <c r="K659" s="3"/>
      <c r="L659" s="3"/>
      <c r="M659" s="3"/>
      <c r="N659" s="3"/>
      <c r="O659"/>
      <c r="P659"/>
      <c r="Q659"/>
    </row>
    <row r="660" spans="1:17" s="766" customFormat="1" ht="18">
      <c r="A660"/>
      <c r="B660" s="1283" t="s">
        <v>1072</v>
      </c>
      <c r="C660" s="34"/>
      <c r="D660" s="34"/>
      <c r="E660" s="34"/>
      <c r="F660" s="2047"/>
      <c r="G660" s="36"/>
      <c r="H660" s="1267"/>
      <c r="J660"/>
      <c r="K660" s="3"/>
      <c r="L660" s="3"/>
      <c r="M660" s="3"/>
      <c r="N660" s="3"/>
      <c r="O660"/>
      <c r="P660"/>
      <c r="Q660"/>
    </row>
    <row r="661" spans="1:17" s="766" customFormat="1" ht="35.25" customHeight="1">
      <c r="A661"/>
      <c r="B661" s="2133" t="s">
        <v>1073</v>
      </c>
      <c r="C661" s="2134"/>
      <c r="D661" s="2134"/>
      <c r="E661" s="2134"/>
      <c r="F661" s="2134"/>
      <c r="G661" s="2134"/>
      <c r="H661" s="2135"/>
      <c r="J661"/>
      <c r="K661" s="3"/>
      <c r="L661" s="3"/>
      <c r="M661" s="3"/>
      <c r="N661" s="3"/>
      <c r="O661"/>
      <c r="P661"/>
      <c r="Q661"/>
    </row>
    <row r="662" spans="1:17" s="766" customFormat="1" ht="18">
      <c r="A662"/>
      <c r="B662" s="1283" t="s">
        <v>1074</v>
      </c>
      <c r="C662" s="34"/>
      <c r="D662" s="34"/>
      <c r="E662" s="34"/>
      <c r="F662" s="2047"/>
      <c r="G662" s="36"/>
      <c r="H662" s="1267"/>
      <c r="J662"/>
      <c r="K662" s="3"/>
      <c r="L662" s="3"/>
      <c r="M662" s="3"/>
      <c r="N662" s="3"/>
      <c r="O662"/>
      <c r="P662"/>
      <c r="Q662"/>
    </row>
    <row r="663" spans="1:17" s="766" customFormat="1" ht="92.25" customHeight="1">
      <c r="A663"/>
      <c r="B663" s="2133" t="s">
        <v>1075</v>
      </c>
      <c r="C663" s="2134"/>
      <c r="D663" s="2134"/>
      <c r="E663" s="2134"/>
      <c r="F663" s="2134"/>
      <c r="G663" s="2134"/>
      <c r="H663" s="2135"/>
      <c r="J663"/>
      <c r="K663" s="3"/>
      <c r="L663" s="3"/>
      <c r="M663" s="3"/>
      <c r="N663" s="3"/>
      <c r="O663"/>
      <c r="P663"/>
      <c r="Q663"/>
    </row>
    <row r="664" spans="1:17" s="766" customFormat="1" ht="18">
      <c r="A664"/>
      <c r="B664" s="1283" t="s">
        <v>1076</v>
      </c>
      <c r="C664" s="34"/>
      <c r="D664" s="34"/>
      <c r="E664" s="34"/>
      <c r="F664" s="2047"/>
      <c r="G664" s="36"/>
      <c r="H664" s="1267"/>
      <c r="J664"/>
      <c r="K664" s="3"/>
      <c r="L664" s="3"/>
      <c r="M664" s="3"/>
      <c r="N664" s="3"/>
      <c r="O664"/>
      <c r="P664"/>
      <c r="Q664"/>
    </row>
    <row r="665" spans="1:17" s="766" customFormat="1" ht="18">
      <c r="A665"/>
      <c r="B665" s="1297" t="s">
        <v>1077</v>
      </c>
      <c r="C665" s="34"/>
      <c r="D665" s="34"/>
      <c r="E665" s="34"/>
      <c r="F665" s="2047"/>
      <c r="G665" s="36"/>
      <c r="H665" s="1267"/>
      <c r="J665"/>
      <c r="K665" s="3"/>
      <c r="L665" s="3"/>
      <c r="M665" s="3"/>
      <c r="N665" s="3"/>
      <c r="O665"/>
      <c r="P665"/>
      <c r="Q665"/>
    </row>
    <row r="666" spans="1:17" s="766" customFormat="1" ht="57" customHeight="1">
      <c r="A666"/>
      <c r="B666" s="2133" t="s">
        <v>1078</v>
      </c>
      <c r="C666" s="2134"/>
      <c r="D666" s="2134"/>
      <c r="E666" s="2134"/>
      <c r="F666" s="2134"/>
      <c r="G666" s="2134"/>
      <c r="H666" s="2135"/>
      <c r="J666"/>
      <c r="K666" s="3"/>
      <c r="L666" s="3"/>
      <c r="M666" s="3"/>
      <c r="N666" s="3"/>
      <c r="O666"/>
      <c r="P666"/>
      <c r="Q666"/>
    </row>
    <row r="667" spans="1:17" s="766" customFormat="1" ht="19.5" customHeight="1">
      <c r="A667"/>
      <c r="B667" s="1335" t="s">
        <v>1079</v>
      </c>
      <c r="C667" s="111"/>
      <c r="D667" s="111"/>
      <c r="E667" s="111"/>
      <c r="F667" s="111"/>
      <c r="G667" s="111"/>
      <c r="H667" s="1382"/>
      <c r="J667"/>
      <c r="K667" s="3"/>
      <c r="L667" s="3"/>
      <c r="M667" s="3"/>
      <c r="N667" s="3"/>
      <c r="O667"/>
      <c r="P667"/>
      <c r="Q667"/>
    </row>
    <row r="668" spans="1:17" s="766" customFormat="1" ht="54" customHeight="1">
      <c r="A668"/>
      <c r="B668" s="2145" t="s">
        <v>1080</v>
      </c>
      <c r="C668" s="2146"/>
      <c r="D668" s="2146"/>
      <c r="E668" s="2146"/>
      <c r="F668" s="2146"/>
      <c r="G668" s="2146"/>
      <c r="H668" s="2147"/>
      <c r="J668"/>
      <c r="K668" s="3"/>
      <c r="L668" s="3"/>
      <c r="M668" s="3"/>
      <c r="N668" s="3"/>
      <c r="O668"/>
      <c r="P668"/>
      <c r="Q668"/>
    </row>
    <row r="669" spans="1:17" s="766" customFormat="1" ht="37.5" customHeight="1">
      <c r="A669"/>
      <c r="B669" s="2145" t="s">
        <v>1081</v>
      </c>
      <c r="C669" s="2146"/>
      <c r="D669" s="2146"/>
      <c r="E669" s="2146"/>
      <c r="F669" s="2146"/>
      <c r="G669" s="2146"/>
      <c r="H669" s="2147"/>
      <c r="J669"/>
      <c r="K669" s="3"/>
      <c r="L669" s="3"/>
      <c r="M669" s="3"/>
      <c r="N669" s="3"/>
      <c r="O669"/>
      <c r="P669"/>
      <c r="Q669"/>
    </row>
    <row r="670" spans="1:17" s="766" customFormat="1" ht="72.75" customHeight="1">
      <c r="A670"/>
      <c r="B670" s="2133" t="s">
        <v>2919</v>
      </c>
      <c r="C670" s="2134"/>
      <c r="D670" s="2134"/>
      <c r="E670" s="2134"/>
      <c r="F670" s="2134"/>
      <c r="G670" s="2134"/>
      <c r="H670" s="2135"/>
      <c r="J670"/>
      <c r="K670" s="3"/>
      <c r="L670" s="3"/>
      <c r="M670" s="3"/>
      <c r="N670" s="3"/>
      <c r="O670"/>
      <c r="P670"/>
      <c r="Q670"/>
    </row>
    <row r="671" spans="1:17" s="766" customFormat="1" ht="37.950000000000003" customHeight="1">
      <c r="A671"/>
      <c r="B671" s="2133" t="s">
        <v>1082</v>
      </c>
      <c r="C671" s="2134"/>
      <c r="D671" s="2134"/>
      <c r="E671" s="2134"/>
      <c r="F671" s="2134"/>
      <c r="G671" s="2134"/>
      <c r="H671" s="2135"/>
      <c r="J671"/>
      <c r="K671" s="3"/>
      <c r="L671" s="3"/>
      <c r="M671" s="3"/>
      <c r="N671" s="3"/>
      <c r="O671"/>
      <c r="P671"/>
      <c r="Q671"/>
    </row>
    <row r="672" spans="1:17" s="766" customFormat="1" ht="57.75" customHeight="1">
      <c r="A672"/>
      <c r="B672" s="2133" t="s">
        <v>1083</v>
      </c>
      <c r="C672" s="2134"/>
      <c r="D672" s="2134"/>
      <c r="E672" s="2134"/>
      <c r="F672" s="2134"/>
      <c r="G672" s="2134"/>
      <c r="H672" s="2135"/>
      <c r="J672"/>
      <c r="K672" s="3"/>
      <c r="L672" s="3"/>
      <c r="M672" s="3"/>
      <c r="N672" s="3"/>
      <c r="O672"/>
      <c r="P672"/>
      <c r="Q672"/>
    </row>
    <row r="673" spans="1:17" s="766" customFormat="1" ht="38.25" customHeight="1">
      <c r="A673"/>
      <c r="B673" s="2133" t="s">
        <v>1084</v>
      </c>
      <c r="C673" s="2134"/>
      <c r="D673" s="2134"/>
      <c r="E673" s="2134"/>
      <c r="F673" s="2134"/>
      <c r="G673" s="2134"/>
      <c r="H673" s="2135"/>
      <c r="J673"/>
      <c r="K673" s="3"/>
      <c r="L673" s="3"/>
      <c r="M673" s="3"/>
      <c r="N673" s="3"/>
      <c r="O673"/>
      <c r="P673"/>
      <c r="Q673"/>
    </row>
    <row r="674" spans="1:17" s="766" customFormat="1" ht="56.25" customHeight="1">
      <c r="A674"/>
      <c r="B674" s="2133" t="s">
        <v>1085</v>
      </c>
      <c r="C674" s="2134"/>
      <c r="D674" s="2134"/>
      <c r="E674" s="2134"/>
      <c r="F674" s="2134"/>
      <c r="G674" s="2134"/>
      <c r="H674" s="2135"/>
      <c r="J674"/>
      <c r="K674" s="3"/>
      <c r="L674" s="3"/>
      <c r="M674" s="3"/>
      <c r="N674" s="3"/>
      <c r="O674"/>
      <c r="P674"/>
      <c r="Q674"/>
    </row>
    <row r="675" spans="1:17" s="766" customFormat="1" ht="18">
      <c r="A675"/>
      <c r="B675" s="1379" t="s">
        <v>1086</v>
      </c>
      <c r="C675" s="111"/>
      <c r="D675" s="111"/>
      <c r="E675" s="111"/>
      <c r="F675" s="111"/>
      <c r="G675" s="111"/>
      <c r="H675" s="1382"/>
      <c r="J675"/>
      <c r="K675" s="3"/>
      <c r="L675" s="3"/>
      <c r="M675" s="3"/>
      <c r="N675" s="3"/>
      <c r="O675"/>
      <c r="P675"/>
      <c r="Q675"/>
    </row>
    <row r="676" spans="1:17" s="766" customFormat="1" ht="52.5" customHeight="1">
      <c r="A676"/>
      <c r="B676" s="2133" t="s">
        <v>1087</v>
      </c>
      <c r="C676" s="2134"/>
      <c r="D676" s="2134"/>
      <c r="E676" s="2134"/>
      <c r="F676" s="2134"/>
      <c r="G676" s="2134"/>
      <c r="H676" s="2135"/>
      <c r="J676"/>
      <c r="K676" s="3"/>
      <c r="L676" s="3"/>
      <c r="M676" s="3"/>
      <c r="N676" s="3"/>
      <c r="O676"/>
      <c r="P676"/>
      <c r="Q676"/>
    </row>
    <row r="677" spans="1:17" s="766" customFormat="1" ht="36">
      <c r="A677"/>
      <c r="B677" s="1383" t="s">
        <v>1088</v>
      </c>
      <c r="C677" s="1384"/>
      <c r="D677" s="1384"/>
      <c r="E677" s="1384"/>
      <c r="F677" s="1385"/>
      <c r="G677" s="1237" t="s">
        <v>840</v>
      </c>
      <c r="H677" s="1238" t="s">
        <v>840</v>
      </c>
      <c r="J677"/>
      <c r="K677" s="3"/>
      <c r="L677" s="3"/>
      <c r="M677" s="3"/>
      <c r="N677" s="3"/>
      <c r="O677"/>
      <c r="P677"/>
      <c r="Q677"/>
    </row>
    <row r="678" spans="1:17" s="766" customFormat="1" ht="18">
      <c r="A678"/>
      <c r="B678" s="1269"/>
      <c r="C678" s="55"/>
      <c r="D678" s="55"/>
      <c r="E678" s="55"/>
      <c r="F678" s="112"/>
      <c r="G678" s="16" t="str">
        <f>+G649</f>
        <v>March 31, 2023 (₹)</v>
      </c>
      <c r="H678" s="1240" t="str">
        <f>+H649</f>
        <v>March 31, 2022 (₹)</v>
      </c>
      <c r="J678"/>
      <c r="K678" s="3"/>
      <c r="L678" s="3"/>
      <c r="M678" s="3"/>
      <c r="N678" s="3"/>
      <c r="O678"/>
      <c r="P678"/>
      <c r="Q678"/>
    </row>
    <row r="679" spans="1:17" s="766" customFormat="1" ht="18">
      <c r="A679"/>
      <c r="B679" s="1297" t="s">
        <v>1089</v>
      </c>
      <c r="C679" s="34"/>
      <c r="D679" s="34"/>
      <c r="E679" s="34"/>
      <c r="F679" s="113"/>
      <c r="G679" s="103">
        <f>+G380+G385</f>
        <v>617.8152609</v>
      </c>
      <c r="H679" s="1377">
        <f>+H380+H385</f>
        <v>190.45132999999998</v>
      </c>
      <c r="J679"/>
      <c r="K679" s="3"/>
      <c r="L679" s="3"/>
      <c r="M679" s="3"/>
      <c r="N679" s="3"/>
      <c r="O679"/>
      <c r="P679"/>
      <c r="Q679"/>
    </row>
    <row r="680" spans="1:17" s="766" customFormat="1" ht="18">
      <c r="A680"/>
      <c r="B680" s="1297" t="s">
        <v>1090</v>
      </c>
      <c r="C680" s="34"/>
      <c r="D680" s="34"/>
      <c r="E680" s="34"/>
      <c r="F680" s="113"/>
      <c r="G680" s="103">
        <f>+G426</f>
        <v>782.74677280000003</v>
      </c>
      <c r="H680" s="1377">
        <f>+H426</f>
        <v>568.4240757</v>
      </c>
      <c r="J680"/>
      <c r="K680" s="3"/>
      <c r="L680" s="3"/>
      <c r="M680" s="3"/>
      <c r="N680" s="3"/>
      <c r="O680"/>
      <c r="P680"/>
      <c r="Q680"/>
    </row>
    <row r="681" spans="1:17" s="766" customFormat="1" ht="18">
      <c r="A681"/>
      <c r="B681" s="1269" t="s">
        <v>1091</v>
      </c>
      <c r="C681" s="55"/>
      <c r="D681" s="55"/>
      <c r="E681" s="55"/>
      <c r="F681" s="112"/>
      <c r="G681" s="103">
        <f>+G422+G423</f>
        <v>230.00015999999999</v>
      </c>
      <c r="H681" s="1377">
        <f>+H422+H423</f>
        <v>203.66672</v>
      </c>
      <c r="J681"/>
      <c r="K681" s="3"/>
      <c r="L681" s="3"/>
      <c r="M681" s="3"/>
      <c r="N681" s="3"/>
      <c r="O681"/>
      <c r="P681"/>
      <c r="Q681"/>
    </row>
    <row r="682" spans="1:17" s="766" customFormat="1" ht="18.600000000000001" thickBot="1">
      <c r="A682"/>
      <c r="B682" s="2139" t="s">
        <v>911</v>
      </c>
      <c r="C682" s="2140"/>
      <c r="D682" s="2140"/>
      <c r="E682" s="2140"/>
      <c r="F682" s="2141"/>
      <c r="G682" s="2055">
        <f>+SUM(G679:G681)</f>
        <v>1630.5621937000001</v>
      </c>
      <c r="H682" s="2056">
        <f>+SUM(H679:H681)</f>
        <v>962.54212570000004</v>
      </c>
      <c r="J682"/>
      <c r="K682" s="3"/>
      <c r="L682" s="3"/>
      <c r="M682" s="3"/>
      <c r="N682" s="3"/>
      <c r="O682"/>
      <c r="P682"/>
      <c r="Q682"/>
    </row>
    <row r="683" spans="1:17" s="766" customFormat="1" ht="18">
      <c r="A683"/>
      <c r="B683" s="2119" t="s">
        <v>785</v>
      </c>
      <c r="C683" s="2120"/>
      <c r="D683" s="2120"/>
      <c r="E683" s="2120"/>
      <c r="F683" s="2120"/>
      <c r="G683" s="2120"/>
      <c r="H683" s="2121"/>
      <c r="J683"/>
      <c r="K683" s="3"/>
      <c r="L683" s="3"/>
      <c r="M683" s="3"/>
      <c r="N683" s="3"/>
      <c r="O683"/>
      <c r="P683"/>
      <c r="Q683"/>
    </row>
    <row r="684" spans="1:17" s="766" customFormat="1" ht="18">
      <c r="A684"/>
      <c r="B684" s="2142" t="s">
        <v>2241</v>
      </c>
      <c r="C684" s="2143"/>
      <c r="D684" s="2143"/>
      <c r="E684" s="2143"/>
      <c r="F684" s="2143"/>
      <c r="G684" s="2143"/>
      <c r="H684" s="2144"/>
      <c r="J684"/>
      <c r="K684" s="3"/>
      <c r="L684" s="3"/>
      <c r="M684" s="3"/>
      <c r="N684" s="3"/>
      <c r="O684"/>
      <c r="P684"/>
      <c r="Q684"/>
    </row>
    <row r="685" spans="1:17" s="766" customFormat="1" ht="18">
      <c r="A685"/>
      <c r="B685" s="1593"/>
      <c r="C685" s="114"/>
      <c r="D685" s="114"/>
      <c r="E685" s="114"/>
      <c r="F685" s="114"/>
      <c r="G685" s="115"/>
      <c r="H685" s="1253"/>
      <c r="J685"/>
      <c r="K685" s="3"/>
      <c r="L685" s="3"/>
      <c r="M685" s="3"/>
      <c r="N685" s="3"/>
      <c r="O685"/>
      <c r="P685"/>
      <c r="Q685"/>
    </row>
    <row r="686" spans="1:17" s="766" customFormat="1" ht="18">
      <c r="A686"/>
      <c r="B686" s="1310" t="s">
        <v>2820</v>
      </c>
      <c r="C686" s="114"/>
      <c r="D686" s="114"/>
      <c r="E686" s="114"/>
      <c r="F686" s="114"/>
      <c r="G686" s="115"/>
      <c r="H686" s="1253"/>
      <c r="J686"/>
      <c r="K686" s="3"/>
      <c r="L686" s="3"/>
      <c r="M686" s="3"/>
      <c r="N686" s="3"/>
      <c r="O686"/>
      <c r="P686"/>
      <c r="Q686"/>
    </row>
    <row r="687" spans="1:17" s="766" customFormat="1" ht="75" customHeight="1">
      <c r="A687"/>
      <c r="B687" s="2133" t="s">
        <v>1092</v>
      </c>
      <c r="C687" s="2134"/>
      <c r="D687" s="2134"/>
      <c r="E687" s="2134"/>
      <c r="F687" s="2134"/>
      <c r="G687" s="2134"/>
      <c r="H687" s="2135"/>
      <c r="J687"/>
      <c r="K687" s="3"/>
      <c r="L687" s="3"/>
      <c r="M687" s="3"/>
      <c r="N687" s="3"/>
      <c r="O687"/>
      <c r="P687"/>
      <c r="Q687"/>
    </row>
    <row r="688" spans="1:17" s="766" customFormat="1" ht="38.4" customHeight="1">
      <c r="A688"/>
      <c r="B688" s="2133" t="s">
        <v>1093</v>
      </c>
      <c r="C688" s="2134"/>
      <c r="D688" s="2134"/>
      <c r="E688" s="2134"/>
      <c r="F688" s="2134"/>
      <c r="G688" s="2134"/>
      <c r="H688" s="2135"/>
      <c r="J688"/>
      <c r="K688" s="3"/>
      <c r="L688" s="3"/>
      <c r="M688" s="3"/>
      <c r="N688" s="3"/>
      <c r="O688"/>
      <c r="P688"/>
      <c r="Q688"/>
    </row>
    <row r="689" spans="1:17" s="766" customFormat="1" ht="36.6" customHeight="1">
      <c r="A689"/>
      <c r="B689" s="2133" t="s">
        <v>1094</v>
      </c>
      <c r="C689" s="2134"/>
      <c r="D689" s="2134"/>
      <c r="E689" s="2134"/>
      <c r="F689" s="2134"/>
      <c r="G689" s="2134"/>
      <c r="H689" s="2135"/>
      <c r="J689"/>
      <c r="K689" s="3"/>
      <c r="L689" s="3"/>
      <c r="M689" s="3"/>
      <c r="N689" s="3"/>
      <c r="O689"/>
      <c r="P689"/>
      <c r="Q689"/>
    </row>
    <row r="690" spans="1:17" s="766" customFormat="1" ht="18">
      <c r="A690"/>
      <c r="B690" s="2136" t="s">
        <v>3146</v>
      </c>
      <c r="C690" s="2137"/>
      <c r="D690" s="2137"/>
      <c r="E690" s="2137"/>
      <c r="F690" s="2137"/>
      <c r="G690" s="2137"/>
      <c r="H690" s="2138"/>
      <c r="J690"/>
      <c r="K690" s="3"/>
      <c r="L690" s="3"/>
      <c r="M690" s="3"/>
      <c r="N690" s="3"/>
      <c r="O690"/>
      <c r="P690"/>
      <c r="Q690"/>
    </row>
    <row r="691" spans="1:17" s="766" customFormat="1" ht="18">
      <c r="A691"/>
      <c r="B691" s="1563"/>
      <c r="C691" s="1077"/>
      <c r="D691" s="1077"/>
      <c r="E691" s="1077"/>
      <c r="F691" s="1077"/>
      <c r="G691" s="2257" t="s">
        <v>3123</v>
      </c>
      <c r="H691" s="2258"/>
      <c r="J691"/>
      <c r="K691" s="3"/>
      <c r="L691" s="3"/>
      <c r="M691" s="3"/>
      <c r="N691" s="3"/>
      <c r="O691"/>
      <c r="P691"/>
      <c r="Q691"/>
    </row>
    <row r="692" spans="1:17" s="766" customFormat="1" ht="18">
      <c r="A692"/>
      <c r="B692" s="1396" t="s">
        <v>0</v>
      </c>
      <c r="C692" s="1411"/>
      <c r="D692" s="1411"/>
      <c r="E692" s="1411"/>
      <c r="F692" s="1594"/>
      <c r="G692" s="1237" t="s">
        <v>840</v>
      </c>
      <c r="H692" s="1238" t="s">
        <v>840</v>
      </c>
      <c r="J692"/>
      <c r="K692" s="3"/>
      <c r="L692" s="3"/>
      <c r="M692" s="3"/>
      <c r="N692" s="3"/>
      <c r="O692"/>
      <c r="P692"/>
      <c r="Q692"/>
    </row>
    <row r="693" spans="1:17" s="766" customFormat="1" ht="18">
      <c r="A693"/>
      <c r="B693" s="1595"/>
      <c r="C693" s="55"/>
      <c r="D693" s="55"/>
      <c r="E693" s="55"/>
      <c r="F693" s="40"/>
      <c r="G693" s="16" t="str">
        <f>+G678</f>
        <v>March 31, 2023 (₹)</v>
      </c>
      <c r="H693" s="1240" t="str">
        <f>+H678</f>
        <v>March 31, 2022 (₹)</v>
      </c>
      <c r="J693"/>
      <c r="K693" s="3"/>
      <c r="L693" s="3"/>
      <c r="M693" s="3"/>
      <c r="N693" s="3"/>
      <c r="O693"/>
      <c r="P693"/>
      <c r="Q693"/>
    </row>
    <row r="694" spans="1:17" s="766" customFormat="1" ht="18">
      <c r="A694"/>
      <c r="B694" s="1348" t="s">
        <v>2821</v>
      </c>
      <c r="C694" s="34"/>
      <c r="D694" s="34"/>
      <c r="E694" s="34"/>
      <c r="F694" s="1999"/>
      <c r="G694" s="20"/>
      <c r="H694" s="1246"/>
      <c r="J694"/>
      <c r="K694" s="3"/>
      <c r="L694" s="3"/>
      <c r="M694" s="3"/>
      <c r="N694" s="3"/>
      <c r="O694"/>
      <c r="P694"/>
      <c r="Q694"/>
    </row>
    <row r="695" spans="1:17" s="766" customFormat="1" ht="18">
      <c r="A695"/>
      <c r="B695" s="1283" t="s">
        <v>1095</v>
      </c>
      <c r="C695" s="34"/>
      <c r="D695" s="34"/>
      <c r="E695" s="34"/>
      <c r="F695" s="115"/>
      <c r="G695" s="20"/>
      <c r="H695" s="1246"/>
      <c r="J695"/>
      <c r="K695" s="3"/>
      <c r="L695" s="3"/>
      <c r="M695" s="3"/>
      <c r="N695" s="3"/>
      <c r="O695"/>
      <c r="P695"/>
      <c r="Q695"/>
    </row>
    <row r="696" spans="1:17" s="766" customFormat="1" ht="18">
      <c r="A696"/>
      <c r="B696" s="1283" t="s">
        <v>1096</v>
      </c>
      <c r="C696" s="34"/>
      <c r="D696" s="34"/>
      <c r="E696" s="34"/>
      <c r="F696" s="115"/>
      <c r="G696" s="1879">
        <f>+G717</f>
        <v>55.27056000000001</v>
      </c>
      <c r="H696" s="1880">
        <f>+H717</f>
        <v>52.622940000000007</v>
      </c>
      <c r="J696"/>
      <c r="K696" s="3"/>
      <c r="L696" s="3"/>
      <c r="M696" s="3"/>
      <c r="N696" s="3"/>
      <c r="O696"/>
      <c r="P696"/>
      <c r="Q696"/>
    </row>
    <row r="697" spans="1:17" s="766" customFormat="1" ht="73.2" customHeight="1">
      <c r="A697"/>
      <c r="B697" s="2108" t="s">
        <v>1097</v>
      </c>
      <c r="C697" s="2109"/>
      <c r="D697" s="2109"/>
      <c r="E697" s="2109"/>
      <c r="F697" s="2109"/>
      <c r="G697" s="1388"/>
      <c r="H697" s="1389"/>
      <c r="J697"/>
      <c r="K697" s="3"/>
      <c r="L697" s="3"/>
      <c r="M697" s="3"/>
      <c r="N697" s="3"/>
      <c r="O697"/>
      <c r="P697"/>
      <c r="Q697"/>
    </row>
    <row r="698" spans="1:17" s="766" customFormat="1" ht="18">
      <c r="A698"/>
      <c r="B698" s="1245"/>
      <c r="C698" s="2005"/>
      <c r="D698" s="2005"/>
      <c r="E698" s="2005"/>
      <c r="F698" s="2005"/>
      <c r="G698" s="116"/>
      <c r="H698" s="1390"/>
      <c r="J698"/>
      <c r="K698" s="3"/>
      <c r="L698" s="3"/>
      <c r="M698" s="3"/>
      <c r="N698" s="3"/>
      <c r="O698"/>
      <c r="P698"/>
      <c r="Q698"/>
    </row>
    <row r="699" spans="1:17" s="766" customFormat="1" ht="18">
      <c r="A699"/>
      <c r="B699" s="1391" t="s">
        <v>1098</v>
      </c>
      <c r="C699" s="117"/>
      <c r="D699" s="117"/>
      <c r="E699" s="117"/>
      <c r="F699" s="117"/>
      <c r="G699" s="118"/>
      <c r="H699" s="1392"/>
      <c r="J699"/>
      <c r="K699" s="3"/>
      <c r="L699" s="3"/>
      <c r="M699" s="3"/>
      <c r="N699" s="3"/>
      <c r="O699"/>
      <c r="P699"/>
      <c r="Q699"/>
    </row>
    <row r="700" spans="1:17" s="766" customFormat="1" ht="18">
      <c r="A700"/>
      <c r="B700" s="1287" t="s">
        <v>0</v>
      </c>
      <c r="C700" s="1236"/>
      <c r="D700" s="1236"/>
      <c r="E700" s="1393"/>
      <c r="F700" s="1394"/>
      <c r="G700" s="1237" t="s">
        <v>840</v>
      </c>
      <c r="H700" s="1238" t="s">
        <v>840</v>
      </c>
      <c r="J700"/>
      <c r="K700" s="3"/>
      <c r="L700" s="3"/>
      <c r="M700" s="3"/>
      <c r="N700" s="3"/>
      <c r="O700"/>
      <c r="P700"/>
      <c r="Q700"/>
    </row>
    <row r="701" spans="1:17" s="766" customFormat="1" ht="18">
      <c r="A701"/>
      <c r="B701" s="1395"/>
      <c r="C701" s="15"/>
      <c r="D701" s="15"/>
      <c r="E701" s="56"/>
      <c r="F701" s="119"/>
      <c r="G701" s="16" t="str">
        <f>+G6</f>
        <v>March 31, 2023 (₹)</v>
      </c>
      <c r="H701" s="1240" t="str">
        <f>+H6</f>
        <v>March 31, 2022 (₹)</v>
      </c>
      <c r="J701"/>
      <c r="K701" s="3"/>
      <c r="L701" s="3"/>
      <c r="M701" s="3"/>
      <c r="N701" s="3"/>
      <c r="O701"/>
      <c r="P701"/>
      <c r="Q701"/>
    </row>
    <row r="702" spans="1:17" s="766" customFormat="1" ht="18">
      <c r="A702"/>
      <c r="B702" s="1396" t="s">
        <v>2920</v>
      </c>
      <c r="C702" s="1397"/>
      <c r="D702" s="1397"/>
      <c r="E702" s="1397"/>
      <c r="F702" s="120"/>
      <c r="G702" s="1398"/>
      <c r="H702" s="1399"/>
      <c r="J702"/>
      <c r="K702" s="3"/>
      <c r="L702" s="3"/>
      <c r="M702" s="3"/>
      <c r="N702" s="3"/>
      <c r="O702"/>
      <c r="P702"/>
      <c r="Q702"/>
    </row>
    <row r="703" spans="1:17" s="766" customFormat="1" ht="18">
      <c r="A703"/>
      <c r="B703" s="1229" t="s">
        <v>1099</v>
      </c>
      <c r="C703" s="1999"/>
      <c r="D703" s="1999"/>
      <c r="E703" s="1958"/>
      <c r="F703" s="98"/>
      <c r="G703" s="1863">
        <f>+H710</f>
        <v>73.467160000000007</v>
      </c>
      <c r="H703" s="1281">
        <f>7437757/A1</f>
        <v>74.377570000000006</v>
      </c>
      <c r="J703"/>
      <c r="K703" s="3"/>
      <c r="L703" s="3"/>
      <c r="M703" s="3"/>
      <c r="N703" s="3"/>
      <c r="O703"/>
      <c r="P703"/>
      <c r="Q703"/>
    </row>
    <row r="704" spans="1:17" s="766" customFormat="1" ht="18">
      <c r="A704"/>
      <c r="B704" s="1229" t="s">
        <v>1100</v>
      </c>
      <c r="C704" s="1999"/>
      <c r="D704" s="1999"/>
      <c r="E704" s="1958"/>
      <c r="F704" s="98"/>
      <c r="G704" s="1863">
        <f>719981/A1</f>
        <v>7.1998100000000003</v>
      </c>
      <c r="H704" s="1281">
        <f>729554/A1</f>
        <v>7.2955399999999999</v>
      </c>
      <c r="J704"/>
      <c r="K704" s="3"/>
      <c r="L704" s="3"/>
      <c r="M704" s="3"/>
      <c r="N704" s="3"/>
      <c r="O704"/>
      <c r="P704"/>
      <c r="Q704"/>
    </row>
    <row r="705" spans="1:17" s="766" customFormat="1" ht="18">
      <c r="A705"/>
      <c r="B705" s="1229" t="s">
        <v>1101</v>
      </c>
      <c r="C705" s="1999"/>
      <c r="D705" s="1999"/>
      <c r="E705" s="1958"/>
      <c r="F705" s="121"/>
      <c r="G705" s="1863">
        <v>0</v>
      </c>
      <c r="H705" s="1281">
        <v>0</v>
      </c>
      <c r="J705"/>
      <c r="K705" s="3"/>
      <c r="L705" s="3"/>
      <c r="M705" s="3"/>
      <c r="N705" s="3"/>
      <c r="O705"/>
      <c r="P705"/>
      <c r="Q705"/>
    </row>
    <row r="706" spans="1:17" s="766" customFormat="1" ht="18">
      <c r="A706"/>
      <c r="B706" s="1229" t="s">
        <v>1102</v>
      </c>
      <c r="C706" s="1999"/>
      <c r="D706" s="1999"/>
      <c r="E706" s="1958"/>
      <c r="F706" s="121"/>
      <c r="G706" s="1863">
        <f>534106/A1</f>
        <v>5.3410599999999997</v>
      </c>
      <c r="H706" s="1281">
        <f>510974/A1</f>
        <v>5.1097400000000004</v>
      </c>
      <c r="J706"/>
      <c r="K706" s="3"/>
      <c r="L706" s="3"/>
      <c r="M706" s="3"/>
      <c r="N706" s="3"/>
      <c r="O706"/>
      <c r="P706"/>
      <c r="Q706"/>
    </row>
    <row r="707" spans="1:17" s="766" customFormat="1" ht="18">
      <c r="A707"/>
      <c r="B707" s="1229" t="s">
        <v>1103</v>
      </c>
      <c r="C707" s="1999"/>
      <c r="D707" s="1999"/>
      <c r="E707" s="1958"/>
      <c r="F707" s="121"/>
      <c r="G707" s="1863">
        <f>-115003/A1</f>
        <v>-1.1500300000000001</v>
      </c>
      <c r="H707" s="1281">
        <f>(-235636-11692)/A1</f>
        <v>-2.4732799999999999</v>
      </c>
      <c r="J707"/>
      <c r="K707" s="3"/>
      <c r="L707" s="3"/>
      <c r="M707" s="3"/>
      <c r="N707" s="3"/>
      <c r="O707"/>
      <c r="P707"/>
      <c r="Q707"/>
    </row>
    <row r="708" spans="1:17" s="766" customFormat="1" ht="18">
      <c r="A708"/>
      <c r="B708" s="1229" t="s">
        <v>1104</v>
      </c>
      <c r="C708" s="1999"/>
      <c r="D708" s="1999"/>
      <c r="E708" s="1958"/>
      <c r="F708" s="121"/>
      <c r="G708" s="1863">
        <f>-448327/A1</f>
        <v>-4.4832700000000001</v>
      </c>
      <c r="H708" s="1281">
        <f>-218354/A1</f>
        <v>-2.1835399999999998</v>
      </c>
      <c r="J708"/>
      <c r="K708" s="3"/>
      <c r="L708" s="3"/>
      <c r="M708" s="3"/>
      <c r="N708" s="3"/>
      <c r="O708"/>
      <c r="P708"/>
      <c r="Q708"/>
    </row>
    <row r="709" spans="1:17" s="766" customFormat="1" ht="18">
      <c r="A709"/>
      <c r="B709" s="1229" t="s">
        <v>1105</v>
      </c>
      <c r="C709" s="1999"/>
      <c r="D709" s="1999"/>
      <c r="E709" s="1958"/>
      <c r="F709" s="121"/>
      <c r="G709" s="1863">
        <f>-390893/A1</f>
        <v>-3.9089299999999998</v>
      </c>
      <c r="H709" s="1281">
        <f>-865887/A1</f>
        <v>-8.6588700000000003</v>
      </c>
      <c r="J709"/>
      <c r="K709" s="3"/>
      <c r="L709" s="3"/>
      <c r="M709" s="3"/>
      <c r="N709" s="3"/>
      <c r="O709"/>
      <c r="P709"/>
      <c r="Q709"/>
    </row>
    <row r="710" spans="1:17" s="766" customFormat="1" ht="18">
      <c r="A710"/>
      <c r="B710" s="1225" t="s">
        <v>1106</v>
      </c>
      <c r="C710" s="1999"/>
      <c r="D710" s="1999"/>
      <c r="E710" s="1958"/>
      <c r="F710" s="92"/>
      <c r="G710" s="1869">
        <f>+SUM(G703:G709)</f>
        <v>76.465800000000002</v>
      </c>
      <c r="H710" s="1870">
        <f>+SUM(H703:H709)</f>
        <v>73.467160000000007</v>
      </c>
      <c r="J710"/>
      <c r="K710" s="3"/>
      <c r="L710" s="3"/>
      <c r="M710" s="3"/>
      <c r="N710" s="3"/>
      <c r="O710"/>
      <c r="P710"/>
      <c r="Q710"/>
    </row>
    <row r="711" spans="1:17" s="766" customFormat="1" ht="18">
      <c r="A711"/>
      <c r="B711" s="1229" t="s">
        <v>1107</v>
      </c>
      <c r="C711" s="1999"/>
      <c r="D711" s="1999"/>
      <c r="E711" s="1958"/>
      <c r="F711" s="121"/>
      <c r="G711" s="1863"/>
      <c r="H711" s="1281"/>
      <c r="J711"/>
      <c r="K711" s="3"/>
      <c r="L711" s="3"/>
      <c r="M711" s="3"/>
      <c r="N711" s="3"/>
      <c r="O711"/>
      <c r="P711"/>
      <c r="Q711"/>
    </row>
    <row r="712" spans="1:17" s="766" customFormat="1" ht="18">
      <c r="A712"/>
      <c r="B712" s="1229" t="s">
        <v>1108</v>
      </c>
      <c r="C712" s="1999"/>
      <c r="D712" s="1999"/>
      <c r="E712" s="1958"/>
      <c r="F712" s="98"/>
      <c r="G712" s="1863">
        <f>+H717</f>
        <v>52.622940000000007</v>
      </c>
      <c r="H712" s="1281">
        <f>4778694/A1</f>
        <v>47.786940000000001</v>
      </c>
      <c r="J712"/>
      <c r="K712" s="3"/>
      <c r="L712" s="3"/>
      <c r="M712" s="3"/>
      <c r="N712" s="3"/>
      <c r="O712"/>
      <c r="P712"/>
      <c r="Q712"/>
    </row>
    <row r="713" spans="1:17" s="766" customFormat="1" ht="18">
      <c r="A713"/>
      <c r="B713" s="1229" t="s">
        <v>1109</v>
      </c>
      <c r="C713" s="1999"/>
      <c r="D713" s="1999"/>
      <c r="E713" s="1958"/>
      <c r="F713" s="121"/>
      <c r="G713" s="1863">
        <f>382569/A1</f>
        <v>3.8256899999999998</v>
      </c>
      <c r="H713" s="1281">
        <f>328296/A1</f>
        <v>3.2829600000000001</v>
      </c>
      <c r="J713"/>
      <c r="K713" s="3"/>
      <c r="L713" s="3"/>
      <c r="M713" s="3"/>
      <c r="N713" s="3"/>
      <c r="O713"/>
      <c r="P713"/>
      <c r="Q713"/>
    </row>
    <row r="714" spans="1:17" s="766" customFormat="1" ht="18">
      <c r="A714"/>
      <c r="B714" s="1229" t="s">
        <v>1110</v>
      </c>
      <c r="C714" s="1999"/>
      <c r="D714" s="1999"/>
      <c r="E714" s="1958"/>
      <c r="F714" s="121"/>
      <c r="G714" s="1863">
        <f>-52475/A1</f>
        <v>-0.52475000000000005</v>
      </c>
      <c r="H714" s="1281">
        <f>-9140/A1</f>
        <v>-9.1399999999999995E-2</v>
      </c>
      <c r="J714"/>
      <c r="K714" s="3"/>
      <c r="L714" s="3"/>
      <c r="M714" s="3"/>
      <c r="N714" s="3"/>
      <c r="O714"/>
      <c r="P714"/>
      <c r="Q714"/>
    </row>
    <row r="715" spans="1:17" s="766" customFormat="1" ht="18">
      <c r="A715"/>
      <c r="B715" s="1229" t="s">
        <v>1111</v>
      </c>
      <c r="C715" s="1999"/>
      <c r="D715" s="1999"/>
      <c r="E715" s="1958"/>
      <c r="F715" s="121"/>
      <c r="G715" s="1863">
        <f>382995/A1</f>
        <v>3.8299500000000002</v>
      </c>
      <c r="H715" s="1281">
        <f>382798/A1</f>
        <v>3.8279800000000002</v>
      </c>
      <c r="J715"/>
      <c r="K715" s="3"/>
      <c r="L715" s="3"/>
      <c r="M715" s="3"/>
      <c r="N715" s="3"/>
      <c r="O715"/>
      <c r="P715"/>
      <c r="Q715"/>
    </row>
    <row r="716" spans="1:17" s="766" customFormat="1" ht="18">
      <c r="A716"/>
      <c r="B716" s="1229" t="s">
        <v>1104</v>
      </c>
      <c r="C716" s="1999"/>
      <c r="D716" s="1999"/>
      <c r="E716" s="1958"/>
      <c r="F716" s="121"/>
      <c r="G716" s="1863">
        <f>-448327/A1</f>
        <v>-4.4832700000000001</v>
      </c>
      <c r="H716" s="1281">
        <f>-218354/A1</f>
        <v>-2.1835399999999998</v>
      </c>
      <c r="J716"/>
      <c r="K716" s="3"/>
      <c r="L716" s="3"/>
      <c r="M716" s="3"/>
      <c r="N716" s="3"/>
      <c r="O716"/>
      <c r="P716"/>
      <c r="Q716"/>
    </row>
    <row r="717" spans="1:17" s="766" customFormat="1" ht="18">
      <c r="A717"/>
      <c r="B717" s="1225" t="s">
        <v>1112</v>
      </c>
      <c r="C717" s="1999"/>
      <c r="D717" s="1999"/>
      <c r="E717" s="1958"/>
      <c r="F717" s="92"/>
      <c r="G717" s="1869">
        <f>+SUM(G712:G716)</f>
        <v>55.27056000000001</v>
      </c>
      <c r="H717" s="1870">
        <f>+SUM(H712:H716)</f>
        <v>52.622940000000007</v>
      </c>
      <c r="J717"/>
      <c r="K717" s="3"/>
      <c r="L717" s="3"/>
      <c r="M717" s="3"/>
      <c r="N717" s="3"/>
      <c r="O717"/>
      <c r="P717"/>
      <c r="Q717"/>
    </row>
    <row r="718" spans="1:17" s="766" customFormat="1" ht="18">
      <c r="A718"/>
      <c r="B718" s="1225" t="s">
        <v>1098</v>
      </c>
      <c r="C718" s="2050"/>
      <c r="D718" s="2050"/>
      <c r="E718" s="2050"/>
      <c r="F718" s="120"/>
      <c r="G718" s="1863"/>
      <c r="H718" s="1281"/>
      <c r="J718"/>
      <c r="K718" s="3"/>
      <c r="L718" s="3"/>
      <c r="M718" s="3"/>
      <c r="N718" s="3"/>
      <c r="O718"/>
      <c r="P718"/>
      <c r="Q718"/>
    </row>
    <row r="719" spans="1:17" s="766" customFormat="1" ht="18">
      <c r="A719"/>
      <c r="B719" s="1229" t="s">
        <v>1113</v>
      </c>
      <c r="C719" s="1999"/>
      <c r="D719" s="1999"/>
      <c r="E719" s="1958"/>
      <c r="F719" s="121"/>
      <c r="G719" s="1863">
        <f>-G717</f>
        <v>-55.27056000000001</v>
      </c>
      <c r="H719" s="1281">
        <f>-H717</f>
        <v>-52.622940000000007</v>
      </c>
      <c r="J719"/>
      <c r="K719" s="3"/>
      <c r="L719" s="3"/>
      <c r="M719" s="3"/>
      <c r="N719" s="3"/>
      <c r="O719"/>
      <c r="P719"/>
      <c r="Q719"/>
    </row>
    <row r="720" spans="1:17" s="766" customFormat="1" ht="18">
      <c r="A720"/>
      <c r="B720" s="1400" t="s">
        <v>1114</v>
      </c>
      <c r="C720" s="1999"/>
      <c r="D720" s="1999"/>
      <c r="E720" s="1958"/>
      <c r="F720" s="121"/>
      <c r="G720" s="1873">
        <f>+G710</f>
        <v>76.465800000000002</v>
      </c>
      <c r="H720" s="1874">
        <f>+H710</f>
        <v>73.467160000000007</v>
      </c>
      <c r="J720"/>
      <c r="K720" s="3"/>
      <c r="L720" s="3"/>
      <c r="M720" s="3"/>
      <c r="N720" s="3"/>
      <c r="O720"/>
      <c r="P720"/>
      <c r="Q720"/>
    </row>
    <row r="721" spans="1:17" s="766" customFormat="1" ht="18">
      <c r="A721"/>
      <c r="B721" s="1402" t="s">
        <v>1115</v>
      </c>
      <c r="C721" s="1999"/>
      <c r="D721" s="1999"/>
      <c r="E721" s="1958"/>
      <c r="F721" s="123"/>
      <c r="G721" s="1875">
        <f>+SUM(G719:G720)</f>
        <v>21.195239999999991</v>
      </c>
      <c r="H721" s="1876">
        <f>+SUM(H719:H720)</f>
        <v>20.84422</v>
      </c>
      <c r="J721"/>
      <c r="K721" s="3"/>
      <c r="L721" s="3"/>
      <c r="M721" s="3"/>
      <c r="N721" s="3"/>
      <c r="O721"/>
      <c r="P721"/>
      <c r="Q721"/>
    </row>
    <row r="722" spans="1:17" s="766" customFormat="1" ht="18">
      <c r="A722"/>
      <c r="B722" s="1229" t="s">
        <v>1116</v>
      </c>
      <c r="C722" s="1999"/>
      <c r="D722" s="1999"/>
      <c r="E722" s="1958"/>
      <c r="F722" s="121"/>
      <c r="G722" s="1863"/>
      <c r="H722" s="1281"/>
      <c r="J722"/>
      <c r="K722" s="3"/>
      <c r="L722" s="3"/>
      <c r="M722" s="3"/>
      <c r="N722" s="3"/>
      <c r="O722"/>
      <c r="P722"/>
      <c r="Q722"/>
    </row>
    <row r="723" spans="1:17" s="766" customFormat="1" ht="18">
      <c r="A723"/>
      <c r="B723" s="1229" t="s">
        <v>1100</v>
      </c>
      <c r="C723" s="1999"/>
      <c r="D723" s="1999"/>
      <c r="E723" s="1958"/>
      <c r="F723" s="121"/>
      <c r="G723" s="1863">
        <f t="shared" ref="G723:H725" si="12">+G704</f>
        <v>7.1998100000000003</v>
      </c>
      <c r="H723" s="1281">
        <f t="shared" si="12"/>
        <v>7.2955399999999999</v>
      </c>
      <c r="J723"/>
      <c r="K723" s="3"/>
      <c r="L723" s="3"/>
      <c r="M723" s="3"/>
      <c r="N723" s="3"/>
      <c r="O723"/>
      <c r="P723"/>
      <c r="Q723"/>
    </row>
    <row r="724" spans="1:17" s="766" customFormat="1" ht="18">
      <c r="A724"/>
      <c r="B724" s="1229" t="s">
        <v>1101</v>
      </c>
      <c r="C724" s="1999"/>
      <c r="D724" s="1999"/>
      <c r="E724" s="1958"/>
      <c r="F724" s="121"/>
      <c r="G724" s="1863">
        <f t="shared" si="12"/>
        <v>0</v>
      </c>
      <c r="H724" s="1281">
        <f t="shared" si="12"/>
        <v>0</v>
      </c>
      <c r="J724"/>
      <c r="K724" s="3"/>
      <c r="L724" s="3"/>
      <c r="M724" s="3"/>
      <c r="N724" s="3"/>
      <c r="O724"/>
      <c r="P724"/>
      <c r="Q724"/>
    </row>
    <row r="725" spans="1:17" s="766" customFormat="1" ht="18">
      <c r="A725"/>
      <c r="B725" s="1229" t="s">
        <v>1102</v>
      </c>
      <c r="C725" s="1999"/>
      <c r="D725" s="1999"/>
      <c r="E725" s="1958"/>
      <c r="F725" s="121"/>
      <c r="G725" s="1863">
        <f t="shared" si="12"/>
        <v>5.3410599999999997</v>
      </c>
      <c r="H725" s="1281">
        <f t="shared" si="12"/>
        <v>5.1097400000000004</v>
      </c>
      <c r="J725"/>
      <c r="K725" s="3"/>
      <c r="L725" s="3"/>
      <c r="M725" s="3"/>
      <c r="N725" s="3"/>
      <c r="O725"/>
      <c r="P725"/>
      <c r="Q725"/>
    </row>
    <row r="726" spans="1:17" s="766" customFormat="1" ht="18">
      <c r="A726"/>
      <c r="B726" s="1229" t="s">
        <v>1109</v>
      </c>
      <c r="C726" s="1999"/>
      <c r="D726" s="1999"/>
      <c r="E726" s="1958"/>
      <c r="F726" s="121"/>
      <c r="G726" s="1863">
        <f>-G713</f>
        <v>-3.8256899999999998</v>
      </c>
      <c r="H726" s="1281">
        <f>-H713</f>
        <v>-3.2829600000000001</v>
      </c>
      <c r="J726"/>
      <c r="K726" s="3"/>
      <c r="L726" s="3"/>
      <c r="M726" s="3"/>
      <c r="N726" s="3"/>
      <c r="O726"/>
      <c r="P726"/>
      <c r="Q726"/>
    </row>
    <row r="727" spans="1:17" s="766" customFormat="1" ht="18">
      <c r="A727"/>
      <c r="B727" s="1229" t="s">
        <v>1103</v>
      </c>
      <c r="C727" s="1999"/>
      <c r="D727" s="1999"/>
      <c r="E727" s="1958"/>
      <c r="F727" s="121"/>
      <c r="G727" s="1863">
        <f>+G709+G707-G714</f>
        <v>-4.5342099999999999</v>
      </c>
      <c r="H727" s="1281">
        <f>+H709+H707-H714</f>
        <v>-11.040749999999999</v>
      </c>
      <c r="J727"/>
      <c r="K727" s="3"/>
      <c r="L727" s="3"/>
      <c r="M727" s="3"/>
      <c r="N727" s="3"/>
      <c r="O727"/>
      <c r="P727"/>
      <c r="Q727"/>
    </row>
    <row r="728" spans="1:17" s="766" customFormat="1" ht="18">
      <c r="A728"/>
      <c r="B728" s="1225" t="s">
        <v>1117</v>
      </c>
      <c r="C728" s="1999"/>
      <c r="D728" s="1999"/>
      <c r="E728" s="1958"/>
      <c r="F728" s="92"/>
      <c r="G728" s="1869">
        <f>+SUM(G723:G727)</f>
        <v>4.1809700000000003</v>
      </c>
      <c r="H728" s="1870">
        <f>+SUM(H723:H727)</f>
        <v>-1.9184299999999972</v>
      </c>
      <c r="J728"/>
      <c r="K728" s="3"/>
      <c r="L728" s="3"/>
      <c r="M728" s="3"/>
      <c r="N728" s="3"/>
      <c r="O728"/>
      <c r="P728"/>
      <c r="Q728"/>
    </row>
    <row r="729" spans="1:17" s="766" customFormat="1" ht="18">
      <c r="A729"/>
      <c r="B729" s="1229" t="s">
        <v>1118</v>
      </c>
      <c r="C729" s="1999"/>
      <c r="D729" s="1999"/>
      <c r="E729" s="1958"/>
      <c r="F729" s="121"/>
      <c r="G729" s="21"/>
      <c r="H729" s="1248"/>
      <c r="J729"/>
      <c r="K729" s="3"/>
      <c r="L729" s="3"/>
      <c r="M729" s="3"/>
      <c r="N729" s="3"/>
      <c r="O729"/>
      <c r="P729"/>
      <c r="Q729"/>
    </row>
    <row r="730" spans="1:17" s="766" customFormat="1" ht="18">
      <c r="A730"/>
      <c r="B730" s="1229" t="s">
        <v>1119</v>
      </c>
      <c r="C730" s="1999"/>
      <c r="D730" s="1999"/>
      <c r="E730" s="1958"/>
      <c r="F730" s="121"/>
      <c r="G730" s="124">
        <v>7.4800000000000005E-2</v>
      </c>
      <c r="H730" s="1403">
        <v>7.2700000000000001E-2</v>
      </c>
      <c r="J730"/>
      <c r="K730" s="3"/>
      <c r="L730" s="3"/>
      <c r="M730" s="3"/>
      <c r="N730" s="3"/>
      <c r="O730"/>
      <c r="P730"/>
      <c r="Q730"/>
    </row>
    <row r="731" spans="1:17" s="766" customFormat="1" ht="18">
      <c r="A731"/>
      <c r="B731" s="1229" t="s">
        <v>1120</v>
      </c>
      <c r="C731" s="1999"/>
      <c r="D731" s="1999"/>
      <c r="E731" s="1958"/>
      <c r="F731" s="121"/>
      <c r="G731" s="124">
        <v>7.4800000000000005E-2</v>
      </c>
      <c r="H731" s="1403">
        <v>7.2700000000000001E-2</v>
      </c>
      <c r="J731"/>
      <c r="K731" s="3"/>
      <c r="L731" s="3"/>
      <c r="M731" s="3"/>
      <c r="N731" s="3"/>
      <c r="O731"/>
      <c r="P731"/>
      <c r="Q731"/>
    </row>
    <row r="732" spans="1:17" s="766" customFormat="1" ht="18">
      <c r="A732"/>
      <c r="B732" s="1286" t="s">
        <v>1121</v>
      </c>
      <c r="C732" s="15"/>
      <c r="D732" s="15"/>
      <c r="E732" s="56"/>
      <c r="F732" s="119"/>
      <c r="G732" s="125">
        <v>0.06</v>
      </c>
      <c r="H732" s="1404">
        <v>0.06</v>
      </c>
      <c r="J732"/>
      <c r="K732" s="3"/>
      <c r="L732" s="3"/>
      <c r="M732" s="3"/>
      <c r="N732" s="3"/>
      <c r="O732"/>
      <c r="P732"/>
      <c r="Q732"/>
    </row>
    <row r="733" spans="1:17" s="766" customFormat="1" ht="18">
      <c r="A733"/>
      <c r="B733" s="1286" t="s">
        <v>1122</v>
      </c>
      <c r="C733" s="15"/>
      <c r="D733" s="15"/>
      <c r="E733" s="56"/>
      <c r="F733" s="126"/>
      <c r="G733" s="125">
        <f>+SUM(G730:G732)</f>
        <v>0.20960000000000001</v>
      </c>
      <c r="H733" s="1404">
        <f>+SUM(H730:H732)</f>
        <v>0.2054</v>
      </c>
      <c r="J733"/>
      <c r="K733" s="3"/>
      <c r="L733" s="3"/>
      <c r="M733" s="3"/>
      <c r="N733" s="3"/>
      <c r="O733"/>
      <c r="P733"/>
      <c r="Q733"/>
    </row>
    <row r="734" spans="1:17" s="766" customFormat="1" ht="18">
      <c r="A734"/>
      <c r="B734" s="1395" t="s">
        <v>1123</v>
      </c>
      <c r="C734" s="15"/>
      <c r="D734" s="15"/>
      <c r="E734" s="56"/>
      <c r="F734" s="127"/>
      <c r="G734" s="1877">
        <f>G713+G714</f>
        <v>3.3009399999999998</v>
      </c>
      <c r="H734" s="1878">
        <f>H713+H714</f>
        <v>3.19156</v>
      </c>
      <c r="J734"/>
      <c r="K734" s="3"/>
      <c r="L734" s="3"/>
      <c r="M734" s="3"/>
      <c r="N734" s="3"/>
      <c r="O734"/>
      <c r="P734"/>
      <c r="Q734"/>
    </row>
    <row r="735" spans="1:17" s="766" customFormat="1" ht="18">
      <c r="A735"/>
      <c r="B735" s="1406"/>
      <c r="C735" s="1407"/>
      <c r="D735" s="1407"/>
      <c r="E735" s="1407"/>
      <c r="F735" s="1407"/>
      <c r="G735" s="1386"/>
      <c r="H735" s="1387"/>
      <c r="J735"/>
      <c r="K735" s="3"/>
      <c r="L735" s="3"/>
      <c r="M735" s="3"/>
      <c r="N735" s="3"/>
      <c r="O735"/>
      <c r="P735"/>
      <c r="Q735"/>
    </row>
    <row r="736" spans="1:17" s="766" customFormat="1" ht="18">
      <c r="A736"/>
      <c r="B736" s="1283" t="s">
        <v>1124</v>
      </c>
      <c r="C736" s="34"/>
      <c r="D736" s="34"/>
      <c r="E736" s="1959"/>
      <c r="F736" s="1959"/>
      <c r="G736" s="31"/>
      <c r="H736" s="1265"/>
      <c r="J736"/>
      <c r="K736" s="3"/>
      <c r="L736" s="3"/>
      <c r="M736" s="3"/>
      <c r="N736" s="3"/>
      <c r="O736"/>
      <c r="P736"/>
      <c r="Q736"/>
    </row>
    <row r="737" spans="1:17" s="766" customFormat="1" ht="18">
      <c r="A737"/>
      <c r="B737" s="1294" t="s">
        <v>1125</v>
      </c>
      <c r="C737" s="2004"/>
      <c r="D737" s="2004"/>
      <c r="E737" s="2004"/>
      <c r="F737" s="2004"/>
      <c r="G737" s="132"/>
      <c r="H737" s="1408"/>
      <c r="J737"/>
      <c r="K737" s="3"/>
      <c r="L737" s="3"/>
      <c r="M737" s="3"/>
      <c r="N737" s="3"/>
      <c r="O737"/>
      <c r="P737"/>
      <c r="Q737"/>
    </row>
    <row r="738" spans="1:17" s="766" customFormat="1" ht="18">
      <c r="A738"/>
      <c r="B738" s="1290" t="s">
        <v>2822</v>
      </c>
      <c r="C738" s="2051"/>
      <c r="D738" s="2051"/>
      <c r="E738" s="2051"/>
      <c r="F738" s="2051"/>
      <c r="G738" s="129"/>
      <c r="H738" s="1409"/>
      <c r="J738"/>
      <c r="K738" s="3"/>
      <c r="L738" s="3"/>
      <c r="M738" s="3"/>
      <c r="N738" s="3"/>
      <c r="O738"/>
      <c r="P738"/>
      <c r="Q738"/>
    </row>
    <row r="739" spans="1:17" s="766" customFormat="1">
      <c r="A739"/>
      <c r="B739" s="2110" t="s">
        <v>2921</v>
      </c>
      <c r="C739" s="2111"/>
      <c r="D739" s="2111"/>
      <c r="E739" s="2111"/>
      <c r="F739" s="2111"/>
      <c r="G739" s="2111"/>
      <c r="H739" s="2112"/>
      <c r="J739"/>
      <c r="K739" s="3"/>
      <c r="L739" s="3"/>
      <c r="M739" s="3"/>
      <c r="N739" s="3"/>
      <c r="O739"/>
      <c r="P739"/>
      <c r="Q739"/>
    </row>
    <row r="740" spans="1:17" s="766" customFormat="1">
      <c r="A740"/>
      <c r="B740" s="2110"/>
      <c r="C740" s="2111"/>
      <c r="D740" s="2111"/>
      <c r="E740" s="2111"/>
      <c r="F740" s="2111"/>
      <c r="G740" s="2111"/>
      <c r="H740" s="2112"/>
      <c r="J740"/>
      <c r="K740" s="3"/>
      <c r="L740" s="3"/>
      <c r="M740" s="3"/>
      <c r="N740" s="3"/>
      <c r="O740"/>
      <c r="P740"/>
      <c r="Q740"/>
    </row>
    <row r="741" spans="1:17" s="766" customFormat="1">
      <c r="A741"/>
      <c r="B741" s="2110"/>
      <c r="C741" s="2111"/>
      <c r="D741" s="2111"/>
      <c r="E741" s="2111"/>
      <c r="F741" s="2111"/>
      <c r="G741" s="2111"/>
      <c r="H741" s="2112"/>
      <c r="J741"/>
      <c r="K741" s="3"/>
      <c r="L741" s="3"/>
      <c r="M741" s="3"/>
      <c r="N741" s="3"/>
      <c r="O741"/>
      <c r="P741"/>
      <c r="Q741"/>
    </row>
    <row r="742" spans="1:17" s="766" customFormat="1">
      <c r="A742"/>
      <c r="B742" s="2110"/>
      <c r="C742" s="2111"/>
      <c r="D742" s="2111"/>
      <c r="E742" s="2111"/>
      <c r="F742" s="2111"/>
      <c r="G742" s="2111"/>
      <c r="H742" s="2112"/>
      <c r="J742"/>
      <c r="K742" s="3"/>
      <c r="L742" s="3"/>
      <c r="M742" s="3"/>
      <c r="N742" s="3"/>
      <c r="O742"/>
      <c r="P742"/>
      <c r="Q742"/>
    </row>
    <row r="743" spans="1:17" s="766" customFormat="1" ht="19.2" customHeight="1">
      <c r="A743"/>
      <c r="B743" s="2110"/>
      <c r="C743" s="2111"/>
      <c r="D743" s="2111"/>
      <c r="E743" s="2111"/>
      <c r="F743" s="2111"/>
      <c r="G743" s="2111"/>
      <c r="H743" s="2112"/>
      <c r="J743"/>
      <c r="K743" s="3"/>
      <c r="L743" s="3"/>
      <c r="M743" s="3"/>
      <c r="N743" s="3"/>
      <c r="O743"/>
      <c r="P743"/>
      <c r="Q743"/>
    </row>
    <row r="744" spans="1:17" s="766" customFormat="1" ht="18">
      <c r="A744"/>
      <c r="B744" s="1310" t="s">
        <v>1126</v>
      </c>
      <c r="C744" s="34"/>
      <c r="D744" s="34"/>
      <c r="E744" s="2014"/>
      <c r="F744" s="2014"/>
      <c r="G744" s="115"/>
      <c r="H744" s="1253"/>
      <c r="J744"/>
      <c r="K744" s="3"/>
      <c r="L744" s="3"/>
      <c r="M744" s="3"/>
      <c r="N744" s="3"/>
      <c r="O744"/>
      <c r="P744"/>
      <c r="Q744"/>
    </row>
    <row r="745" spans="1:17" s="766" customFormat="1">
      <c r="A745"/>
      <c r="B745" s="2113" t="s">
        <v>3142</v>
      </c>
      <c r="C745" s="2114"/>
      <c r="D745" s="2114"/>
      <c r="E745" s="2114"/>
      <c r="F745" s="2114"/>
      <c r="G745" s="2114"/>
      <c r="H745" s="2115"/>
      <c r="J745"/>
      <c r="K745" s="3"/>
      <c r="L745" s="3"/>
      <c r="M745" s="3"/>
      <c r="N745" s="3"/>
      <c r="O745"/>
      <c r="P745"/>
      <c r="Q745"/>
    </row>
    <row r="746" spans="1:17" s="766" customFormat="1">
      <c r="A746"/>
      <c r="B746" s="2113"/>
      <c r="C746" s="2114"/>
      <c r="D746" s="2114"/>
      <c r="E746" s="2114"/>
      <c r="F746" s="2114"/>
      <c r="G746" s="2114"/>
      <c r="H746" s="2115"/>
      <c r="J746"/>
      <c r="K746" s="3"/>
      <c r="L746" s="3"/>
      <c r="M746" s="3"/>
      <c r="N746" s="3"/>
      <c r="O746"/>
      <c r="P746"/>
      <c r="Q746"/>
    </row>
    <row r="747" spans="1:17" s="766" customFormat="1">
      <c r="A747"/>
      <c r="B747" s="2113"/>
      <c r="C747" s="2114"/>
      <c r="D747" s="2114"/>
      <c r="E747" s="2114"/>
      <c r="F747" s="2114"/>
      <c r="G747" s="2114"/>
      <c r="H747" s="2115"/>
      <c r="J747"/>
      <c r="K747" s="3"/>
      <c r="L747" s="3"/>
      <c r="M747" s="3"/>
      <c r="N747" s="3"/>
      <c r="O747"/>
      <c r="P747"/>
      <c r="Q747"/>
    </row>
    <row r="748" spans="1:17" s="766" customFormat="1" ht="15" thickBot="1">
      <c r="A748"/>
      <c r="B748" s="2116"/>
      <c r="C748" s="2117"/>
      <c r="D748" s="2117"/>
      <c r="E748" s="2117"/>
      <c r="F748" s="2117"/>
      <c r="G748" s="2117"/>
      <c r="H748" s="2118"/>
      <c r="J748"/>
      <c r="K748" s="3"/>
      <c r="L748" s="3"/>
      <c r="M748" s="3"/>
      <c r="N748" s="3"/>
      <c r="O748"/>
      <c r="P748"/>
      <c r="Q748"/>
    </row>
    <row r="749" spans="1:17" s="766" customFormat="1" ht="18">
      <c r="A749"/>
      <c r="B749" s="2119" t="s">
        <v>785</v>
      </c>
      <c r="C749" s="2120"/>
      <c r="D749" s="2120"/>
      <c r="E749" s="2120"/>
      <c r="F749" s="2120"/>
      <c r="G749" s="2120"/>
      <c r="H749" s="2121"/>
      <c r="J749"/>
      <c r="K749" s="3"/>
      <c r="L749" s="3"/>
      <c r="M749" s="3"/>
      <c r="N749" s="3"/>
      <c r="O749"/>
      <c r="P749"/>
      <c r="Q749"/>
    </row>
    <row r="750" spans="1:17" s="766" customFormat="1" ht="18">
      <c r="A750"/>
      <c r="B750" s="2099" t="s">
        <v>2241</v>
      </c>
      <c r="C750" s="2100"/>
      <c r="D750" s="2100"/>
      <c r="E750" s="2100"/>
      <c r="F750" s="2100"/>
      <c r="G750" s="2100"/>
      <c r="H750" s="2101"/>
      <c r="J750"/>
      <c r="K750" s="3"/>
      <c r="L750" s="3"/>
      <c r="M750" s="3"/>
      <c r="N750" s="3"/>
      <c r="O750"/>
      <c r="P750"/>
      <c r="Q750"/>
    </row>
    <row r="751" spans="1:17" s="766" customFormat="1" ht="18">
      <c r="A751"/>
      <c r="B751" s="1310" t="s">
        <v>2823</v>
      </c>
      <c r="C751" s="68"/>
      <c r="D751" s="68"/>
      <c r="E751" s="1958"/>
      <c r="F751" s="1958"/>
      <c r="G751" s="36"/>
      <c r="H751" s="1267"/>
      <c r="J751"/>
      <c r="K751" s="3"/>
      <c r="L751" s="3"/>
      <c r="M751" s="3"/>
      <c r="N751" s="3"/>
      <c r="O751"/>
      <c r="P751"/>
      <c r="Q751"/>
    </row>
    <row r="752" spans="1:17" s="766" customFormat="1" ht="18">
      <c r="A752"/>
      <c r="B752" s="1283"/>
      <c r="C752" s="35"/>
      <c r="D752" s="35"/>
      <c r="E752" s="1958"/>
      <c r="F752" s="1958"/>
      <c r="G752" s="36"/>
      <c r="H752" s="1267"/>
      <c r="J752"/>
      <c r="K752" s="3"/>
      <c r="L752" s="3"/>
      <c r="M752" s="3"/>
      <c r="N752" s="3"/>
      <c r="O752"/>
      <c r="P752"/>
      <c r="Q752"/>
    </row>
    <row r="753" spans="1:17" s="766" customFormat="1" ht="18">
      <c r="A753"/>
      <c r="B753" s="1290" t="s">
        <v>1127</v>
      </c>
      <c r="C753" s="2004"/>
      <c r="D753" s="2004"/>
      <c r="E753" s="1958"/>
      <c r="F753" s="1958"/>
      <c r="G753" s="36"/>
      <c r="H753" s="1267"/>
      <c r="J753"/>
      <c r="K753" s="3"/>
      <c r="L753" s="3"/>
      <c r="M753" s="3"/>
      <c r="N753" s="3"/>
      <c r="O753"/>
      <c r="P753"/>
      <c r="Q753"/>
    </row>
    <row r="754" spans="1:17" s="766" customFormat="1" ht="18">
      <c r="A754"/>
      <c r="B754" s="1294" t="s">
        <v>1128</v>
      </c>
      <c r="C754" s="2004"/>
      <c r="D754" s="2004"/>
      <c r="E754" s="1958"/>
      <c r="F754" s="1958"/>
      <c r="G754" s="36"/>
      <c r="H754" s="1267"/>
      <c r="J754"/>
      <c r="K754" s="3"/>
      <c r="L754" s="3"/>
      <c r="M754" s="3"/>
      <c r="N754" s="3"/>
      <c r="O754"/>
      <c r="P754"/>
      <c r="Q754"/>
    </row>
    <row r="755" spans="1:17" s="766" customFormat="1" ht="18">
      <c r="A755"/>
      <c r="B755" s="1294" t="s">
        <v>2922</v>
      </c>
      <c r="C755" s="2004"/>
      <c r="D755" s="2004"/>
      <c r="E755" s="1958"/>
      <c r="F755" s="1958"/>
      <c r="G755" s="36"/>
      <c r="H755" s="1267"/>
      <c r="J755"/>
      <c r="K755" s="3"/>
      <c r="L755" s="3"/>
      <c r="M755" s="3"/>
      <c r="N755" s="3"/>
      <c r="O755"/>
      <c r="P755"/>
      <c r="Q755"/>
    </row>
    <row r="756" spans="1:17" s="766" customFormat="1" ht="18">
      <c r="A756"/>
      <c r="B756" s="1294" t="s">
        <v>1130</v>
      </c>
      <c r="C756" s="2004"/>
      <c r="D756" s="2004"/>
      <c r="E756" s="1958"/>
      <c r="F756" s="1958"/>
      <c r="G756" s="36"/>
      <c r="H756" s="1267"/>
      <c r="J756"/>
      <c r="K756" s="3"/>
      <c r="L756" s="3"/>
      <c r="M756" s="3"/>
      <c r="N756" s="3"/>
      <c r="O756"/>
      <c r="P756"/>
      <c r="Q756"/>
    </row>
    <row r="757" spans="1:17" s="766" customFormat="1" ht="18">
      <c r="A757"/>
      <c r="B757" s="1294" t="s">
        <v>1131</v>
      </c>
      <c r="C757" s="2004"/>
      <c r="D757" s="2004"/>
      <c r="E757" s="1958"/>
      <c r="F757" s="1958"/>
      <c r="G757" s="36"/>
      <c r="H757" s="1267"/>
      <c r="J757"/>
      <c r="K757" s="3"/>
      <c r="L757" s="3"/>
      <c r="M757" s="3"/>
      <c r="N757" s="3"/>
      <c r="O757"/>
      <c r="P757"/>
      <c r="Q757"/>
    </row>
    <row r="758" spans="1:17" s="766" customFormat="1" ht="18">
      <c r="A758"/>
      <c r="B758" s="1290" t="s">
        <v>1132</v>
      </c>
      <c r="C758" s="2004"/>
      <c r="D758" s="2004"/>
      <c r="E758" s="1958"/>
      <c r="F758" s="1958"/>
      <c r="G758" s="36"/>
      <c r="H758" s="1267"/>
      <c r="J758"/>
      <c r="K758" s="3"/>
      <c r="L758" s="3"/>
      <c r="M758" s="3"/>
      <c r="N758" s="3"/>
      <c r="O758"/>
      <c r="P758"/>
      <c r="Q758"/>
    </row>
    <row r="759" spans="1:17" s="766" customFormat="1" ht="18">
      <c r="A759"/>
      <c r="B759" s="1294" t="s">
        <v>1133</v>
      </c>
      <c r="C759" s="2004"/>
      <c r="D759" s="2004"/>
      <c r="E759" s="1958"/>
      <c r="F759" s="1958"/>
      <c r="G759" s="36"/>
      <c r="H759" s="1267"/>
      <c r="J759"/>
      <c r="K759" s="3"/>
      <c r="L759" s="3"/>
      <c r="M759" s="3"/>
      <c r="N759" s="3"/>
      <c r="O759"/>
      <c r="P759"/>
      <c r="Q759"/>
    </row>
    <row r="760" spans="1:17" s="766" customFormat="1" ht="18">
      <c r="A760"/>
      <c r="B760" s="1294" t="s">
        <v>1134</v>
      </c>
      <c r="C760" s="2004"/>
      <c r="D760" s="2004"/>
      <c r="E760" s="1958"/>
      <c r="F760" s="1958"/>
      <c r="G760" s="36"/>
      <c r="H760" s="1267"/>
      <c r="J760"/>
      <c r="K760" s="3"/>
      <c r="L760" s="3"/>
      <c r="M760" s="3"/>
      <c r="N760" s="3"/>
      <c r="O760"/>
      <c r="P760"/>
      <c r="Q760"/>
    </row>
    <row r="761" spans="1:17" s="766" customFormat="1" ht="18">
      <c r="A761"/>
      <c r="B761" s="1294" t="s">
        <v>1135</v>
      </c>
      <c r="C761" s="2004"/>
      <c r="D761" s="2004"/>
      <c r="E761" s="1958"/>
      <c r="F761" s="1958"/>
      <c r="G761" s="36"/>
      <c r="H761" s="1267"/>
      <c r="J761"/>
      <c r="K761" s="3"/>
      <c r="L761" s="3"/>
      <c r="M761" s="3"/>
      <c r="N761" s="3"/>
      <c r="O761"/>
      <c r="P761"/>
      <c r="Q761"/>
    </row>
    <row r="762" spans="1:17" s="766" customFormat="1" ht="18">
      <c r="A762"/>
      <c r="B762" s="1294" t="s">
        <v>1136</v>
      </c>
      <c r="C762" s="2004"/>
      <c r="D762" s="2004"/>
      <c r="E762" s="1958"/>
      <c r="F762" s="1958"/>
      <c r="G762" s="36"/>
      <c r="H762" s="1267"/>
      <c r="J762"/>
      <c r="K762" s="3"/>
      <c r="L762" s="3"/>
      <c r="M762" s="3"/>
      <c r="N762" s="3"/>
      <c r="O762"/>
      <c r="P762"/>
      <c r="Q762"/>
    </row>
    <row r="763" spans="1:17" s="766" customFormat="1" ht="18">
      <c r="A763"/>
      <c r="B763" s="1294" t="s">
        <v>2854</v>
      </c>
      <c r="C763" s="2004"/>
      <c r="D763" s="2004"/>
      <c r="E763" s="1958"/>
      <c r="F763" s="1958"/>
      <c r="G763" s="36"/>
      <c r="H763" s="1267"/>
      <c r="J763"/>
      <c r="K763" s="3"/>
      <c r="L763" s="3"/>
      <c r="M763" s="3"/>
      <c r="N763" s="3"/>
      <c r="O763"/>
      <c r="P763"/>
      <c r="Q763"/>
    </row>
    <row r="764" spans="1:17" s="766" customFormat="1" ht="18">
      <c r="A764"/>
      <c r="B764" s="1294" t="s">
        <v>2855</v>
      </c>
      <c r="C764" s="2004"/>
      <c r="D764" s="2004"/>
      <c r="E764" s="1958"/>
      <c r="F764" s="1958"/>
      <c r="G764" s="36"/>
      <c r="H764" s="1267"/>
      <c r="J764"/>
      <c r="K764" s="3"/>
      <c r="L764" s="3"/>
      <c r="M764" s="3"/>
      <c r="N764" s="3"/>
      <c r="O764"/>
      <c r="P764"/>
      <c r="Q764"/>
    </row>
    <row r="765" spans="1:17" s="766" customFormat="1" ht="18">
      <c r="A765"/>
      <c r="B765" s="1294"/>
      <c r="C765" s="2004"/>
      <c r="D765" s="2004"/>
      <c r="E765" s="1958"/>
      <c r="F765" s="1958"/>
      <c r="G765" s="36"/>
      <c r="H765" s="1267"/>
      <c r="J765"/>
      <c r="K765" s="3"/>
      <c r="L765" s="3"/>
      <c r="M765" s="3"/>
      <c r="N765" s="3"/>
      <c r="O765"/>
      <c r="P765"/>
      <c r="Q765"/>
    </row>
    <row r="766" spans="1:17" s="766" customFormat="1" ht="18">
      <c r="A766"/>
      <c r="B766" s="1283" t="s">
        <v>1137</v>
      </c>
      <c r="C766" s="34"/>
      <c r="D766" s="34"/>
      <c r="E766" s="1958"/>
      <c r="F766" s="1958"/>
      <c r="G766" s="36"/>
      <c r="H766" s="1267"/>
      <c r="J766"/>
      <c r="K766" s="3"/>
      <c r="L766" s="3"/>
      <c r="M766" s="3"/>
      <c r="N766" s="3"/>
      <c r="O766"/>
      <c r="P766"/>
      <c r="Q766"/>
    </row>
    <row r="767" spans="1:17" s="766" customFormat="1" ht="18">
      <c r="A767"/>
      <c r="B767" s="1290" t="s">
        <v>1138</v>
      </c>
      <c r="C767" s="2004"/>
      <c r="D767" s="2004"/>
      <c r="E767" s="1958"/>
      <c r="F767" s="1958"/>
      <c r="G767" s="36"/>
      <c r="H767" s="1267"/>
      <c r="J767"/>
      <c r="K767" s="3"/>
      <c r="L767" s="3"/>
      <c r="M767" s="3"/>
      <c r="N767" s="3"/>
      <c r="O767"/>
      <c r="P767"/>
      <c r="Q767"/>
    </row>
    <row r="768" spans="1:17" s="766" customFormat="1" ht="18">
      <c r="A768"/>
      <c r="B768" s="1294" t="s">
        <v>1139</v>
      </c>
      <c r="C768" s="2004"/>
      <c r="D768" s="2004"/>
      <c r="E768" s="2004" t="s">
        <v>1140</v>
      </c>
      <c r="F768" s="1958"/>
      <c r="G768" s="36"/>
      <c r="H768" s="1267"/>
      <c r="J768"/>
      <c r="K768" s="3"/>
      <c r="L768" s="3"/>
      <c r="M768" s="3"/>
      <c r="N768" s="3"/>
      <c r="O768"/>
      <c r="P768"/>
      <c r="Q768"/>
    </row>
    <row r="769" spans="1:17" s="766" customFormat="1" ht="18">
      <c r="A769"/>
      <c r="B769" s="1294" t="s">
        <v>1141</v>
      </c>
      <c r="C769" s="2004"/>
      <c r="D769" s="2004"/>
      <c r="E769" s="2004" t="s">
        <v>1142</v>
      </c>
      <c r="F769" s="1958"/>
      <c r="G769" s="36"/>
      <c r="H769" s="1267"/>
      <c r="J769"/>
      <c r="K769" s="3"/>
      <c r="L769" s="3"/>
      <c r="M769" s="3"/>
      <c r="N769" s="3"/>
      <c r="O769"/>
      <c r="P769"/>
      <c r="Q769"/>
    </row>
    <row r="770" spans="1:17" s="766" customFormat="1" ht="18">
      <c r="A770"/>
      <c r="B770" s="1294" t="s">
        <v>1143</v>
      </c>
      <c r="C770" s="2004"/>
      <c r="D770" s="2004"/>
      <c r="E770" s="2004" t="s">
        <v>1144</v>
      </c>
      <c r="F770" s="1958"/>
      <c r="G770" s="36"/>
      <c r="H770" s="1267"/>
      <c r="J770"/>
      <c r="K770" s="3"/>
      <c r="L770" s="3"/>
      <c r="M770" s="3"/>
      <c r="N770" s="3"/>
      <c r="O770"/>
      <c r="P770"/>
      <c r="Q770"/>
    </row>
    <row r="771" spans="1:17" s="766" customFormat="1" ht="18">
      <c r="A771"/>
      <c r="B771" s="1294" t="s">
        <v>1145</v>
      </c>
      <c r="C771" s="2004"/>
      <c r="D771" s="2004"/>
      <c r="E771" s="2004" t="s">
        <v>1146</v>
      </c>
      <c r="F771" s="1958"/>
      <c r="G771" s="36"/>
      <c r="H771" s="1267"/>
      <c r="J771"/>
      <c r="K771" s="3"/>
      <c r="L771" s="3"/>
      <c r="M771" s="3"/>
      <c r="N771" s="3"/>
      <c r="O771"/>
      <c r="P771"/>
      <c r="Q771"/>
    </row>
    <row r="772" spans="1:17" s="766" customFormat="1" ht="18">
      <c r="A772"/>
      <c r="B772" s="1294" t="s">
        <v>1147</v>
      </c>
      <c r="C772" s="2004"/>
      <c r="D772" s="2004"/>
      <c r="E772" s="2004" t="s">
        <v>1148</v>
      </c>
      <c r="F772" s="1958"/>
      <c r="G772" s="36"/>
      <c r="H772" s="1267"/>
      <c r="J772"/>
      <c r="K772" s="3"/>
      <c r="L772" s="3"/>
      <c r="M772" s="3"/>
      <c r="N772" s="3"/>
      <c r="O772"/>
      <c r="P772"/>
      <c r="Q772"/>
    </row>
    <row r="773" spans="1:17" s="766" customFormat="1" ht="18">
      <c r="A773"/>
      <c r="B773" s="1294" t="s">
        <v>1149</v>
      </c>
      <c r="C773" s="2004"/>
      <c r="D773" s="2004"/>
      <c r="E773" s="2004" t="s">
        <v>1150</v>
      </c>
      <c r="F773" s="1958"/>
      <c r="G773" s="36"/>
      <c r="H773" s="1267"/>
      <c r="J773"/>
      <c r="K773" s="3"/>
      <c r="L773" s="3"/>
      <c r="M773" s="3"/>
      <c r="N773" s="3"/>
      <c r="O773"/>
      <c r="P773"/>
      <c r="Q773"/>
    </row>
    <row r="774" spans="1:17" s="766" customFormat="1" ht="18">
      <c r="A774"/>
      <c r="B774" s="1294" t="s">
        <v>1151</v>
      </c>
      <c r="C774" s="34"/>
      <c r="D774" s="34"/>
      <c r="E774" s="34" t="s">
        <v>1152</v>
      </c>
      <c r="F774" s="1958"/>
      <c r="G774" s="36"/>
      <c r="H774" s="1267"/>
      <c r="J774"/>
      <c r="K774" s="3"/>
      <c r="L774" s="3"/>
      <c r="M774" s="3"/>
      <c r="N774" s="3"/>
      <c r="O774"/>
      <c r="P774"/>
      <c r="Q774"/>
    </row>
    <row r="775" spans="1:17" s="766" customFormat="1" ht="18">
      <c r="A775"/>
      <c r="B775" s="1297" t="s">
        <v>1153</v>
      </c>
      <c r="C775" s="34"/>
      <c r="D775" s="34"/>
      <c r="E775" s="34" t="s">
        <v>1154</v>
      </c>
      <c r="F775" s="1958"/>
      <c r="G775" s="36"/>
      <c r="H775" s="1267"/>
      <c r="J775"/>
      <c r="K775" s="3"/>
      <c r="L775" s="3"/>
      <c r="M775" s="3"/>
      <c r="N775" s="3"/>
      <c r="O775"/>
      <c r="P775"/>
      <c r="Q775"/>
    </row>
    <row r="776" spans="1:17" s="766" customFormat="1" ht="18">
      <c r="A776"/>
      <c r="B776" s="1297" t="s">
        <v>1155</v>
      </c>
      <c r="C776" s="34"/>
      <c r="D776" s="34"/>
      <c r="E776" s="34" t="s">
        <v>1146</v>
      </c>
      <c r="F776" s="1958"/>
      <c r="G776" s="36"/>
      <c r="H776" s="1267"/>
      <c r="J776"/>
      <c r="K776" s="3"/>
      <c r="L776" s="3"/>
      <c r="M776" s="3"/>
      <c r="N776" s="3"/>
      <c r="O776"/>
      <c r="P776"/>
      <c r="Q776"/>
    </row>
    <row r="777" spans="1:17" s="766" customFormat="1" ht="18">
      <c r="A777"/>
      <c r="B777" s="1297" t="s">
        <v>1156</v>
      </c>
      <c r="C777" s="34"/>
      <c r="D777" s="34"/>
      <c r="E777" s="34" t="s">
        <v>1157</v>
      </c>
      <c r="F777" s="1958"/>
      <c r="G777" s="36"/>
      <c r="H777" s="1267"/>
      <c r="J777"/>
      <c r="K777" s="3"/>
      <c r="L777" s="3"/>
      <c r="M777" s="3"/>
      <c r="N777" s="3"/>
      <c r="O777"/>
      <c r="P777"/>
      <c r="Q777"/>
    </row>
    <row r="778" spans="1:17" s="766" customFormat="1" ht="18">
      <c r="A778"/>
      <c r="B778" s="1297"/>
      <c r="C778" s="34"/>
      <c r="D778" s="34"/>
      <c r="E778" s="34" t="s">
        <v>1158</v>
      </c>
      <c r="F778" s="1958"/>
      <c r="G778" s="36"/>
      <c r="H778" s="1267"/>
      <c r="J778"/>
      <c r="K778" s="3"/>
      <c r="L778" s="3"/>
      <c r="M778" s="3"/>
      <c r="N778" s="3"/>
      <c r="O778"/>
      <c r="P778"/>
      <c r="Q778"/>
    </row>
    <row r="779" spans="1:17" s="766" customFormat="1" ht="18">
      <c r="A779"/>
      <c r="B779" s="1269"/>
      <c r="C779" s="55"/>
      <c r="D779" s="55"/>
      <c r="E779" s="55"/>
      <c r="F779" s="56"/>
      <c r="G779" s="2259" t="s">
        <v>3123</v>
      </c>
      <c r="H779" s="2260"/>
      <c r="J779"/>
      <c r="K779" s="3"/>
      <c r="L779" s="3"/>
      <c r="M779" s="3"/>
      <c r="N779" s="3"/>
      <c r="O779"/>
      <c r="P779"/>
      <c r="Q779"/>
    </row>
    <row r="780" spans="1:17" s="766" customFormat="1" ht="18">
      <c r="A780"/>
      <c r="B780" s="1287" t="s">
        <v>0</v>
      </c>
      <c r="C780" s="1288"/>
      <c r="D780" s="1288"/>
      <c r="E780" s="1289"/>
      <c r="F780" s="1410"/>
      <c r="G780" s="1237" t="s">
        <v>840</v>
      </c>
      <c r="H780" s="1238" t="s">
        <v>840</v>
      </c>
      <c r="J780"/>
      <c r="K780" s="3"/>
      <c r="L780" s="3"/>
      <c r="M780" s="3"/>
      <c r="N780" s="3"/>
      <c r="O780"/>
      <c r="P780"/>
      <c r="Q780"/>
    </row>
    <row r="781" spans="1:17" s="766" customFormat="1" ht="18">
      <c r="A781"/>
      <c r="B781" s="1269"/>
      <c r="C781" s="55"/>
      <c r="D781" s="55"/>
      <c r="E781" s="38"/>
      <c r="F781" s="130"/>
      <c r="G781" s="16" t="s">
        <v>789</v>
      </c>
      <c r="H781" s="1240" t="s">
        <v>790</v>
      </c>
      <c r="J781"/>
      <c r="K781" s="3"/>
      <c r="L781" s="3"/>
      <c r="M781" s="3"/>
      <c r="N781" s="3"/>
      <c r="O781"/>
      <c r="P781"/>
      <c r="Q781"/>
    </row>
    <row r="782" spans="1:17" s="766" customFormat="1" ht="18">
      <c r="A782"/>
      <c r="B782" s="1300" t="s">
        <v>1159</v>
      </c>
      <c r="C782" s="1411"/>
      <c r="D782" s="1411"/>
      <c r="E782" s="1340"/>
      <c r="F782" s="1412"/>
      <c r="G782" s="1413"/>
      <c r="H782" s="1342"/>
      <c r="J782"/>
      <c r="K782" s="3"/>
      <c r="L782" s="3"/>
      <c r="M782" s="3"/>
      <c r="N782" s="3"/>
      <c r="O782"/>
      <c r="P782"/>
      <c r="Q782"/>
    </row>
    <row r="783" spans="1:17" s="766" customFormat="1" ht="18">
      <c r="A783"/>
      <c r="B783" s="1348" t="s">
        <v>1160</v>
      </c>
      <c r="C783" s="34"/>
      <c r="D783" s="34"/>
      <c r="E783" s="1959"/>
      <c r="F783" s="131"/>
      <c r="G783" s="32"/>
      <c r="H783" s="1265"/>
      <c r="J783"/>
      <c r="K783" s="3"/>
      <c r="L783" s="3"/>
      <c r="M783" s="3"/>
      <c r="N783" s="3"/>
      <c r="O783"/>
      <c r="P783"/>
      <c r="Q783"/>
    </row>
    <row r="784" spans="1:17" s="766" customFormat="1" ht="18">
      <c r="A784"/>
      <c r="B784" s="1348" t="s">
        <v>1161</v>
      </c>
      <c r="C784" s="34"/>
      <c r="D784" s="34"/>
      <c r="E784" s="1959"/>
      <c r="F784" s="131"/>
      <c r="G784" s="32"/>
      <c r="H784" s="1265"/>
      <c r="J784"/>
      <c r="K784" s="3"/>
      <c r="L784" s="3"/>
      <c r="M784" s="3"/>
      <c r="N784" s="3"/>
      <c r="O784"/>
      <c r="P784"/>
      <c r="Q784"/>
    </row>
    <row r="785" spans="1:17" s="766" customFormat="1" ht="18">
      <c r="A785"/>
      <c r="B785" s="1283" t="s">
        <v>1163</v>
      </c>
      <c r="C785" s="34"/>
      <c r="D785" s="34"/>
      <c r="E785" s="1959"/>
      <c r="F785" s="131"/>
      <c r="G785" s="32"/>
      <c r="H785" s="1265"/>
      <c r="J785"/>
      <c r="K785" s="3"/>
      <c r="L785" s="3"/>
      <c r="M785" s="3"/>
      <c r="N785" s="3"/>
      <c r="O785"/>
      <c r="P785"/>
      <c r="Q785"/>
    </row>
    <row r="786" spans="1:17" s="766" customFormat="1" ht="18">
      <c r="A786"/>
      <c r="B786" s="1297" t="s">
        <v>1134</v>
      </c>
      <c r="C786" s="34"/>
      <c r="D786" s="34"/>
      <c r="E786" s="1959"/>
      <c r="F786" s="131"/>
      <c r="G786" s="1903">
        <f>+'Related Parties'!G16/A1</f>
        <v>44.937600000000003</v>
      </c>
      <c r="H786" s="1904">
        <f>5118012/A1</f>
        <v>51.180120000000002</v>
      </c>
      <c r="J786"/>
      <c r="K786" s="3"/>
      <c r="L786" s="3"/>
      <c r="M786" s="3"/>
      <c r="N786" s="3"/>
      <c r="O786"/>
      <c r="P786"/>
      <c r="Q786"/>
    </row>
    <row r="787" spans="1:17" s="766" customFormat="1" ht="18">
      <c r="A787"/>
      <c r="B787" s="1297"/>
      <c r="C787" s="34"/>
      <c r="D787" s="34"/>
      <c r="E787" s="1959"/>
      <c r="F787" s="131"/>
      <c r="G787" s="1903"/>
      <c r="H787" s="1904"/>
      <c r="J787"/>
      <c r="K787" s="3"/>
      <c r="L787" s="3"/>
      <c r="M787" s="3"/>
      <c r="N787" s="3"/>
      <c r="O787"/>
      <c r="P787"/>
      <c r="Q787"/>
    </row>
    <row r="788" spans="1:17" s="766" customFormat="1" ht="18">
      <c r="A788"/>
      <c r="B788" s="1283" t="s">
        <v>3150</v>
      </c>
      <c r="C788" s="34"/>
      <c r="D788" s="34"/>
      <c r="E788" s="1959"/>
      <c r="F788" s="131"/>
      <c r="G788" s="1903">
        <v>26.077629999999999</v>
      </c>
      <c r="H788" s="1904">
        <v>21.181429999999999</v>
      </c>
      <c r="J788"/>
      <c r="K788" s="3"/>
      <c r="L788" s="3"/>
      <c r="M788" s="3"/>
      <c r="N788" s="3"/>
      <c r="O788"/>
      <c r="P788"/>
      <c r="Q788"/>
    </row>
    <row r="789" spans="1:17" s="766" customFormat="1" ht="18">
      <c r="A789"/>
      <c r="B789" s="1297"/>
      <c r="C789" s="34"/>
      <c r="D789" s="34"/>
      <c r="E789" s="1959"/>
      <c r="F789" s="131"/>
      <c r="G789" s="32"/>
      <c r="H789" s="1265"/>
      <c r="J789"/>
      <c r="K789" s="3"/>
      <c r="L789" s="3"/>
      <c r="M789" s="3"/>
      <c r="N789" s="3"/>
      <c r="O789"/>
      <c r="P789"/>
      <c r="Q789"/>
    </row>
    <row r="790" spans="1:17" s="766" customFormat="1" ht="18">
      <c r="A790"/>
      <c r="B790" s="1283" t="s">
        <v>1168</v>
      </c>
      <c r="C790" s="34"/>
      <c r="D790" s="34"/>
      <c r="E790" s="1959"/>
      <c r="F790" s="131"/>
      <c r="G790" s="32"/>
      <c r="H790" s="1265"/>
      <c r="J790"/>
      <c r="K790" s="3"/>
      <c r="L790" s="3"/>
      <c r="M790" s="3"/>
      <c r="N790" s="3"/>
      <c r="O790"/>
      <c r="P790"/>
      <c r="Q790"/>
    </row>
    <row r="791" spans="1:17" s="766" customFormat="1" ht="18">
      <c r="A791"/>
      <c r="B791" s="1297" t="s">
        <v>1128</v>
      </c>
      <c r="C791" s="34"/>
      <c r="D791" s="34"/>
      <c r="E791" s="1959"/>
      <c r="F791"/>
      <c r="G791" s="1857">
        <f>410000/A1</f>
        <v>4.0999999999999996</v>
      </c>
      <c r="H791" s="1904">
        <f>960000/A1</f>
        <v>9.6</v>
      </c>
      <c r="J791"/>
      <c r="K791" s="3"/>
      <c r="L791" s="3"/>
      <c r="M791" s="3"/>
      <c r="N791" s="3"/>
      <c r="O791"/>
      <c r="P791"/>
      <c r="Q791"/>
    </row>
    <row r="792" spans="1:17" s="766" customFormat="1" ht="18">
      <c r="A792"/>
      <c r="B792" s="1297" t="s">
        <v>1129</v>
      </c>
      <c r="C792" s="34"/>
      <c r="D792" s="34"/>
      <c r="E792" s="1959"/>
      <c r="F792"/>
      <c r="G792" s="1857">
        <f>1370000/A1</f>
        <v>13.7</v>
      </c>
      <c r="H792" s="1904">
        <f>1920000/A1</f>
        <v>19.2</v>
      </c>
      <c r="J792"/>
      <c r="K792" s="3"/>
      <c r="L792" s="3"/>
      <c r="M792" s="3"/>
      <c r="N792" s="3"/>
      <c r="O792"/>
      <c r="P792"/>
      <c r="Q792"/>
    </row>
    <row r="793" spans="1:17" s="766" customFormat="1" ht="18">
      <c r="A793"/>
      <c r="B793" s="1297" t="s">
        <v>1130</v>
      </c>
      <c r="C793" s="34"/>
      <c r="D793" s="34"/>
      <c r="E793" s="1959"/>
      <c r="F793"/>
      <c r="G793" s="1857">
        <f>410000/A1</f>
        <v>4.0999999999999996</v>
      </c>
      <c r="H793" s="1904">
        <f>960000/A1</f>
        <v>9.6</v>
      </c>
      <c r="J793"/>
      <c r="K793" s="3"/>
      <c r="L793" s="3"/>
      <c r="M793" s="3"/>
      <c r="N793" s="3"/>
      <c r="O793"/>
      <c r="P793"/>
      <c r="Q793"/>
    </row>
    <row r="794" spans="1:17" s="766" customFormat="1" ht="18">
      <c r="A794"/>
      <c r="B794" s="1297" t="s">
        <v>1131</v>
      </c>
      <c r="C794" s="34"/>
      <c r="D794" s="34"/>
      <c r="E794" s="1959"/>
      <c r="F794"/>
      <c r="G794" s="1857">
        <f>410000/A1</f>
        <v>4.0999999999999996</v>
      </c>
      <c r="H794" s="1904">
        <f>883871/A1</f>
        <v>8.8387100000000007</v>
      </c>
      <c r="J794"/>
      <c r="K794" s="3"/>
      <c r="L794" s="3"/>
      <c r="M794" s="3"/>
      <c r="N794" s="3"/>
      <c r="O794"/>
      <c r="P794"/>
      <c r="Q794"/>
    </row>
    <row r="795" spans="1:17" s="766" customFormat="1" ht="18">
      <c r="A795"/>
      <c r="B795" s="1297"/>
      <c r="C795" s="34"/>
      <c r="D795" s="34"/>
      <c r="E795" s="1959"/>
      <c r="F795" s="1959"/>
      <c r="G795" s="1857"/>
      <c r="H795" s="1858"/>
      <c r="J795"/>
      <c r="K795" s="3"/>
      <c r="L795" s="3"/>
      <c r="M795" s="3"/>
      <c r="N795" s="3"/>
      <c r="O795"/>
      <c r="P795"/>
      <c r="Q795"/>
    </row>
    <row r="796" spans="1:17" s="766" customFormat="1" ht="18">
      <c r="A796"/>
      <c r="B796" s="1283" t="s">
        <v>3156</v>
      </c>
      <c r="C796" s="34"/>
      <c r="D796" s="34"/>
      <c r="E796" s="1959"/>
      <c r="F796" s="1959"/>
      <c r="G796" s="1857"/>
      <c r="H796" s="1858"/>
      <c r="J796"/>
      <c r="K796" s="3"/>
      <c r="L796" s="3"/>
      <c r="M796" s="3"/>
      <c r="N796" s="3"/>
      <c r="O796"/>
      <c r="P796"/>
      <c r="Q796"/>
    </row>
    <row r="797" spans="1:17" s="766" customFormat="1" ht="18">
      <c r="A797"/>
      <c r="B797" s="1297" t="s">
        <v>1167</v>
      </c>
      <c r="C797" s="34"/>
      <c r="D797" s="34"/>
      <c r="E797" s="1959"/>
      <c r="F797" s="1959"/>
      <c r="G797" s="1857">
        <f>840000/A1</f>
        <v>8.4</v>
      </c>
      <c r="H797" s="1858">
        <f>780000/A1</f>
        <v>7.8</v>
      </c>
      <c r="J797"/>
      <c r="K797" s="3"/>
      <c r="L797" s="3"/>
      <c r="M797" s="3"/>
      <c r="N797" s="3"/>
      <c r="O797"/>
      <c r="P797"/>
      <c r="Q797"/>
    </row>
    <row r="798" spans="1:17" s="766" customFormat="1" ht="18" hidden="1">
      <c r="A798"/>
      <c r="B798" s="2124" t="s">
        <v>785</v>
      </c>
      <c r="C798" s="2125"/>
      <c r="D798" s="2125"/>
      <c r="E798" s="2125"/>
      <c r="F798" s="2125"/>
      <c r="G798" s="2125"/>
      <c r="H798" s="2126"/>
      <c r="J798"/>
      <c r="K798" s="3"/>
      <c r="L798" s="3"/>
      <c r="M798" s="3"/>
      <c r="N798" s="3"/>
      <c r="O798"/>
      <c r="P798"/>
      <c r="Q798"/>
    </row>
    <row r="799" spans="1:17" s="766" customFormat="1" ht="18" hidden="1">
      <c r="A799"/>
      <c r="B799" s="2124" t="s">
        <v>2241</v>
      </c>
      <c r="C799" s="2125"/>
      <c r="D799" s="2125"/>
      <c r="E799" s="2125"/>
      <c r="F799" s="2125"/>
      <c r="G799" s="2125"/>
      <c r="H799" s="2126"/>
      <c r="J799"/>
      <c r="K799" s="3"/>
      <c r="L799" s="3"/>
      <c r="M799" s="3"/>
      <c r="N799" s="3"/>
      <c r="O799"/>
      <c r="P799"/>
      <c r="Q799"/>
    </row>
    <row r="800" spans="1:17" s="766" customFormat="1" ht="18" hidden="1">
      <c r="A800"/>
      <c r="B800" s="1531"/>
      <c r="C800" s="1529"/>
      <c r="D800" s="1529"/>
      <c r="E800" s="1529"/>
      <c r="F800" s="1529"/>
      <c r="G800" s="2106" t="s">
        <v>3123</v>
      </c>
      <c r="H800" s="2107"/>
      <c r="J800"/>
      <c r="K800" s="3"/>
      <c r="L800" s="3"/>
      <c r="M800" s="3"/>
      <c r="N800" s="3"/>
      <c r="O800"/>
      <c r="P800"/>
      <c r="Q800"/>
    </row>
    <row r="801" spans="1:17" s="766" customFormat="1" ht="18" hidden="1">
      <c r="A801"/>
      <c r="B801" s="1287" t="s">
        <v>0</v>
      </c>
      <c r="C801" s="1288"/>
      <c r="D801" s="1288"/>
      <c r="E801" s="1289"/>
      <c r="F801" s="1410"/>
      <c r="G801" s="1237" t="s">
        <v>840</v>
      </c>
      <c r="H801" s="1238" t="s">
        <v>840</v>
      </c>
      <c r="J801"/>
      <c r="K801" s="3"/>
      <c r="L801" s="3"/>
      <c r="M801" s="3"/>
      <c r="N801" s="3"/>
      <c r="O801"/>
      <c r="P801"/>
      <c r="Q801"/>
    </row>
    <row r="802" spans="1:17" s="766" customFormat="1" ht="18" hidden="1">
      <c r="A802"/>
      <c r="B802" s="1297"/>
      <c r="C802" s="34"/>
      <c r="D802" s="34"/>
      <c r="E802" s="1959"/>
      <c r="F802" s="25"/>
      <c r="G802" s="20" t="s">
        <v>789</v>
      </c>
      <c r="H802" s="1246" t="s">
        <v>790</v>
      </c>
      <c r="J802"/>
      <c r="K802" s="3"/>
      <c r="L802" s="3"/>
      <c r="M802" s="3"/>
      <c r="N802" s="3"/>
      <c r="O802"/>
      <c r="P802"/>
      <c r="Q802"/>
    </row>
    <row r="803" spans="1:17" s="766" customFormat="1" ht="18">
      <c r="A803"/>
      <c r="B803" s="1297"/>
      <c r="C803" s="34"/>
      <c r="D803" s="34"/>
      <c r="E803" s="1959"/>
      <c r="F803" s="131"/>
      <c r="G803" s="32"/>
      <c r="H803" s="1265"/>
      <c r="J803"/>
      <c r="K803" s="3"/>
      <c r="L803" s="3"/>
      <c r="M803" s="3"/>
      <c r="N803" s="3"/>
      <c r="O803"/>
      <c r="P803"/>
      <c r="Q803"/>
    </row>
    <row r="804" spans="1:17" s="766" customFormat="1" ht="18">
      <c r="A804"/>
      <c r="B804" s="1414" t="s">
        <v>1169</v>
      </c>
      <c r="C804" s="34"/>
      <c r="D804" s="34"/>
      <c r="E804" s="1959"/>
      <c r="F804" s="131"/>
      <c r="G804" s="32"/>
      <c r="H804" s="1265"/>
      <c r="J804"/>
      <c r="K804" s="3"/>
      <c r="L804" s="3"/>
      <c r="M804" s="3"/>
      <c r="N804" s="3"/>
      <c r="O804"/>
      <c r="P804"/>
      <c r="Q804"/>
    </row>
    <row r="805" spans="1:17" s="766" customFormat="1" ht="18">
      <c r="A805"/>
      <c r="B805" s="1415" t="s">
        <v>1170</v>
      </c>
      <c r="C805" s="34"/>
      <c r="D805" s="34"/>
      <c r="E805" s="1959"/>
      <c r="F805" s="131"/>
      <c r="G805" s="1903">
        <f>395594/A1</f>
        <v>3.95594</v>
      </c>
      <c r="H805" s="1904">
        <f>3074084/A1</f>
        <v>30.740839999999999</v>
      </c>
      <c r="J805"/>
      <c r="K805" s="3"/>
      <c r="L805" s="3"/>
      <c r="M805" s="3"/>
      <c r="N805" s="3"/>
      <c r="O805"/>
      <c r="P805"/>
      <c r="Q805"/>
    </row>
    <row r="806" spans="1:17" s="766" customFormat="1" ht="18">
      <c r="A806"/>
      <c r="B806" s="1415"/>
      <c r="C806" s="34"/>
      <c r="D806" s="34"/>
      <c r="E806" s="1959"/>
      <c r="F806" s="131"/>
      <c r="G806" s="32"/>
      <c r="H806" s="1265"/>
      <c r="J806"/>
      <c r="K806" s="3"/>
      <c r="L806" s="3"/>
      <c r="M806" s="3"/>
      <c r="N806" s="3"/>
      <c r="O806"/>
      <c r="P806"/>
      <c r="Q806"/>
    </row>
    <row r="807" spans="1:17" s="766" customFormat="1" ht="18">
      <c r="A807"/>
      <c r="B807" s="1414" t="s">
        <v>2243</v>
      </c>
      <c r="C807" s="34"/>
      <c r="D807" s="34"/>
      <c r="E807" s="1959"/>
      <c r="F807" s="131"/>
      <c r="G807" s="32"/>
      <c r="H807" s="1265"/>
      <c r="J807"/>
      <c r="K807" s="3"/>
      <c r="L807" s="3"/>
      <c r="M807" s="3"/>
      <c r="N807" s="3"/>
      <c r="O807"/>
      <c r="P807"/>
      <c r="Q807"/>
    </row>
    <row r="808" spans="1:17" s="766" customFormat="1" ht="18">
      <c r="A808"/>
      <c r="B808" s="1415" t="s">
        <v>1182</v>
      </c>
      <c r="C808" s="34"/>
      <c r="D808" s="34"/>
      <c r="E808" s="1959"/>
      <c r="F808" s="131"/>
      <c r="G808" s="1903">
        <f>2391600/A1</f>
        <v>23.916</v>
      </c>
      <c r="H808" s="1265">
        <v>0</v>
      </c>
      <c r="J808"/>
      <c r="K808" s="3"/>
      <c r="L808" s="3"/>
      <c r="M808" s="3"/>
      <c r="N808" s="3"/>
      <c r="O808"/>
      <c r="P808"/>
      <c r="Q808"/>
    </row>
    <row r="809" spans="1:17" s="766" customFormat="1" ht="18">
      <c r="A809"/>
      <c r="B809" s="1415"/>
      <c r="C809" s="34"/>
      <c r="D809" s="34"/>
      <c r="E809" s="1959"/>
      <c r="F809" s="131"/>
      <c r="G809" s="32"/>
      <c r="H809" s="1265"/>
      <c r="J809"/>
      <c r="K809" s="3"/>
      <c r="L809" s="3"/>
      <c r="M809" s="3"/>
      <c r="N809" s="3"/>
      <c r="O809"/>
      <c r="P809"/>
      <c r="Q809"/>
    </row>
    <row r="810" spans="1:17" s="766" customFormat="1" ht="18">
      <c r="A810"/>
      <c r="B810" s="1414" t="s">
        <v>1171</v>
      </c>
      <c r="C810" s="34"/>
      <c r="D810" s="34"/>
      <c r="E810" s="1959"/>
      <c r="F810" s="131"/>
      <c r="G810" s="32"/>
      <c r="H810" s="1265"/>
      <c r="J810"/>
      <c r="K810" s="3"/>
      <c r="L810" s="3"/>
      <c r="M810" s="3"/>
      <c r="N810" s="3"/>
      <c r="O810"/>
      <c r="P810"/>
      <c r="Q810"/>
    </row>
    <row r="811" spans="1:17" s="766" customFormat="1" ht="18">
      <c r="A811"/>
      <c r="B811" s="1415" t="s">
        <v>2854</v>
      </c>
      <c r="C811" s="34"/>
      <c r="D811" s="34"/>
      <c r="E811" s="1959"/>
      <c r="F811" s="131"/>
      <c r="G811" s="1903">
        <f>+'Related Parties'!G5/A1</f>
        <v>38.585569999999997</v>
      </c>
      <c r="H811" s="1265">
        <v>0</v>
      </c>
      <c r="J811"/>
      <c r="K811" s="3"/>
      <c r="L811" s="3"/>
      <c r="M811" s="3"/>
      <c r="N811" s="3"/>
      <c r="O811"/>
      <c r="P811"/>
      <c r="Q811"/>
    </row>
    <row r="812" spans="1:17" s="766" customFormat="1" ht="18">
      <c r="A812"/>
      <c r="B812" s="1415" t="s">
        <v>2855</v>
      </c>
      <c r="C812" s="34"/>
      <c r="D812" s="34"/>
      <c r="E812" s="1959"/>
      <c r="F812" s="131"/>
      <c r="G812" s="1903">
        <f>+'Related Parties'!G6/A1</f>
        <v>194.70314999999999</v>
      </c>
      <c r="H812" s="1265">
        <v>0</v>
      </c>
      <c r="J812"/>
      <c r="K812" s="3"/>
      <c r="L812" s="3"/>
      <c r="M812" s="3"/>
      <c r="N812" s="3"/>
      <c r="O812"/>
      <c r="P812"/>
      <c r="Q812"/>
    </row>
    <row r="813" spans="1:17" s="766" customFormat="1" ht="18">
      <c r="A813"/>
      <c r="B813" s="1415"/>
      <c r="C813" s="34"/>
      <c r="D813" s="34"/>
      <c r="E813" s="1959"/>
      <c r="F813" s="131"/>
      <c r="G813" s="1903"/>
      <c r="H813" s="1265"/>
      <c r="J813"/>
      <c r="K813" s="3"/>
      <c r="L813" s="3"/>
      <c r="M813" s="3"/>
      <c r="N813" s="3"/>
      <c r="O813"/>
      <c r="P813"/>
      <c r="Q813"/>
    </row>
    <row r="814" spans="1:17" s="766" customFormat="1" ht="18">
      <c r="A814"/>
      <c r="B814" s="1414" t="s">
        <v>1034</v>
      </c>
      <c r="C814" s="34"/>
      <c r="D814" s="34"/>
      <c r="E814" s="1959"/>
      <c r="F814" s="131"/>
      <c r="G814" s="1903"/>
      <c r="H814" s="1265"/>
      <c r="J814"/>
      <c r="K814" s="3"/>
      <c r="L814" s="3"/>
      <c r="M814" s="3"/>
      <c r="N814" s="3"/>
      <c r="O814"/>
      <c r="P814"/>
      <c r="Q814"/>
    </row>
    <row r="815" spans="1:17" s="766" customFormat="1" ht="18">
      <c r="A815"/>
      <c r="B815" s="1415" t="s">
        <v>2854</v>
      </c>
      <c r="C815" s="34"/>
      <c r="D815" s="34"/>
      <c r="E815" s="1959"/>
      <c r="F815" s="131"/>
      <c r="G815" s="1903">
        <f>54438/A1</f>
        <v>0.54437999999999998</v>
      </c>
      <c r="H815" s="1265">
        <v>0</v>
      </c>
      <c r="J815"/>
      <c r="K815" s="3"/>
      <c r="L815" s="3"/>
      <c r="M815" s="3"/>
      <c r="N815" s="3"/>
      <c r="O815"/>
      <c r="P815"/>
      <c r="Q815"/>
    </row>
    <row r="816" spans="1:17" s="766" customFormat="1" ht="18">
      <c r="A816"/>
      <c r="B816" s="1415"/>
      <c r="C816" s="34"/>
      <c r="D816" s="34"/>
      <c r="E816" s="1959"/>
      <c r="F816" s="131"/>
      <c r="G816" s="32"/>
      <c r="H816" s="1265"/>
      <c r="J816"/>
      <c r="K816" s="3"/>
      <c r="L816" s="3"/>
      <c r="M816" s="3"/>
      <c r="N816" s="3"/>
      <c r="O816"/>
      <c r="P816"/>
      <c r="Q816"/>
    </row>
    <row r="817" spans="1:17" s="766" customFormat="1" ht="18">
      <c r="A817"/>
      <c r="B817" s="1414" t="s">
        <v>1172</v>
      </c>
      <c r="C817" s="34"/>
      <c r="D817" s="34"/>
      <c r="E817" s="1959"/>
      <c r="F817" s="131"/>
      <c r="G817" s="32"/>
      <c r="H817" s="1265"/>
      <c r="J817"/>
      <c r="K817" s="3"/>
      <c r="L817" s="3"/>
      <c r="M817" s="3"/>
      <c r="N817" s="3"/>
      <c r="O817"/>
      <c r="P817"/>
      <c r="Q817"/>
    </row>
    <row r="818" spans="1:17" s="766" customFormat="1" ht="18">
      <c r="A818"/>
      <c r="B818" s="1415" t="s">
        <v>1135</v>
      </c>
      <c r="C818" s="34"/>
      <c r="D818" s="34"/>
      <c r="E818" s="1959"/>
      <c r="F818" s="131"/>
      <c r="G818" s="1903">
        <f>+'Related Parties'!G9/A1</f>
        <v>103.25176</v>
      </c>
      <c r="H818" s="1904">
        <f>23025864/A1</f>
        <v>230.25864000000001</v>
      </c>
      <c r="J818"/>
      <c r="K818" s="3"/>
      <c r="L818" s="3"/>
      <c r="M818" s="3"/>
      <c r="N818" s="3"/>
      <c r="O818"/>
      <c r="P818"/>
      <c r="Q818"/>
    </row>
    <row r="819" spans="1:17" s="766" customFormat="1" ht="18">
      <c r="A819"/>
      <c r="B819" s="1415" t="s">
        <v>1136</v>
      </c>
      <c r="C819" s="34"/>
      <c r="D819" s="34"/>
      <c r="E819" s="1959"/>
      <c r="F819" s="131"/>
      <c r="G819" s="1903">
        <f>+'Related Parties'!G10/A1</f>
        <v>1154.95605</v>
      </c>
      <c r="H819" s="1904">
        <f>(94159357-5051607)/A1</f>
        <v>891.07749999999999</v>
      </c>
      <c r="J819"/>
      <c r="K819" s="3"/>
      <c r="L819" s="3"/>
      <c r="M819" s="3"/>
      <c r="N819" s="3"/>
      <c r="O819"/>
      <c r="P819"/>
      <c r="Q819"/>
    </row>
    <row r="820" spans="1:17" s="766" customFormat="1" ht="18">
      <c r="A820"/>
      <c r="B820" s="1415" t="s">
        <v>2854</v>
      </c>
      <c r="C820" s="34"/>
      <c r="D820" s="34"/>
      <c r="E820" s="1959"/>
      <c r="F820" s="131"/>
      <c r="G820" s="1903">
        <f>+'Related Parties'!G17/A1</f>
        <v>134.59689</v>
      </c>
      <c r="H820" s="1904">
        <v>0</v>
      </c>
      <c r="J820"/>
      <c r="K820" s="3"/>
      <c r="L820" s="3"/>
      <c r="M820" s="3"/>
      <c r="N820" s="3"/>
      <c r="O820"/>
      <c r="P820"/>
      <c r="Q820"/>
    </row>
    <row r="821" spans="1:17" s="766" customFormat="1" ht="18">
      <c r="A821"/>
      <c r="B821" s="1416"/>
      <c r="C821" s="55"/>
      <c r="D821" s="55"/>
      <c r="E821" s="38"/>
      <c r="F821" s="95"/>
      <c r="G821" s="39"/>
      <c r="H821" s="1270"/>
      <c r="J821"/>
      <c r="K821" s="3"/>
      <c r="L821" s="3"/>
      <c r="M821" s="3"/>
      <c r="N821" s="3"/>
      <c r="O821"/>
      <c r="P821"/>
      <c r="Q821"/>
    </row>
    <row r="822" spans="1:17" s="766" customFormat="1" ht="18">
      <c r="A822"/>
      <c r="B822" s="1417" t="s">
        <v>1173</v>
      </c>
      <c r="C822" s="1411"/>
      <c r="D822" s="1411"/>
      <c r="E822" s="1340"/>
      <c r="F822" s="1412"/>
      <c r="G822" s="1413"/>
      <c r="H822" s="1342"/>
      <c r="J822"/>
      <c r="K822" s="3"/>
      <c r="L822" s="3"/>
      <c r="M822" s="3"/>
      <c r="N822" s="3"/>
      <c r="O822"/>
      <c r="P822"/>
      <c r="Q822"/>
    </row>
    <row r="823" spans="1:17" s="766" customFormat="1" ht="18">
      <c r="A823"/>
      <c r="B823" s="1300" t="s">
        <v>3157</v>
      </c>
      <c r="C823" s="34"/>
      <c r="D823" s="34"/>
      <c r="E823" s="1959"/>
      <c r="F823" s="131"/>
      <c r="G823" s="1903">
        <v>144</v>
      </c>
      <c r="H823" s="1858">
        <v>59.711299999999994</v>
      </c>
      <c r="J823"/>
      <c r="K823" s="3"/>
      <c r="L823" s="3"/>
      <c r="M823" s="3"/>
      <c r="N823" s="3"/>
      <c r="O823"/>
      <c r="P823"/>
      <c r="Q823"/>
    </row>
    <row r="824" spans="1:17" s="766" customFormat="1" ht="18">
      <c r="A824"/>
      <c r="B824" s="1297"/>
      <c r="C824" s="34"/>
      <c r="D824" s="34"/>
      <c r="E824" s="1959"/>
      <c r="F824" s="131"/>
      <c r="G824" s="32"/>
      <c r="H824" s="1265"/>
      <c r="J824"/>
      <c r="K824" s="3"/>
      <c r="L824" s="3"/>
      <c r="M824" s="3"/>
      <c r="N824" s="3"/>
      <c r="O824"/>
      <c r="P824"/>
      <c r="Q824"/>
    </row>
    <row r="825" spans="1:17" s="766" customFormat="1" ht="18">
      <c r="A825"/>
      <c r="B825" s="1300" t="s">
        <v>3153</v>
      </c>
      <c r="C825" s="34"/>
      <c r="D825" s="34"/>
      <c r="E825" s="1959"/>
      <c r="F825" s="131"/>
      <c r="G825" s="1903">
        <v>29.60388</v>
      </c>
      <c r="H825" s="1904">
        <v>21</v>
      </c>
      <c r="J825"/>
      <c r="K825" s="3"/>
      <c r="L825" s="3"/>
      <c r="M825" s="3"/>
      <c r="N825" s="3"/>
      <c r="O825"/>
      <c r="P825"/>
      <c r="Q825"/>
    </row>
    <row r="826" spans="1:17" s="766" customFormat="1" ht="18">
      <c r="A826"/>
      <c r="B826" s="1297"/>
      <c r="C826" s="34"/>
      <c r="D826" s="34"/>
      <c r="E826" s="1959"/>
      <c r="F826" s="131"/>
      <c r="G826" s="1903"/>
      <c r="H826" s="1904"/>
      <c r="J826"/>
      <c r="K826" s="3"/>
      <c r="L826" s="3"/>
      <c r="M826" s="3"/>
      <c r="N826" s="3"/>
      <c r="O826"/>
      <c r="P826"/>
      <c r="Q826"/>
    </row>
    <row r="827" spans="1:17" s="766" customFormat="1" ht="18" hidden="1">
      <c r="A827"/>
      <c r="B827" s="1437" t="s">
        <v>0</v>
      </c>
      <c r="C827" s="68"/>
      <c r="D827" s="68"/>
      <c r="E827" s="2014"/>
      <c r="F827" s="2087"/>
      <c r="G827" s="67" t="s">
        <v>840</v>
      </c>
      <c r="H827" s="1309" t="s">
        <v>840</v>
      </c>
      <c r="J827"/>
      <c r="K827" s="3"/>
      <c r="L827" s="3"/>
      <c r="M827" s="3"/>
      <c r="N827" s="3"/>
      <c r="O827"/>
      <c r="P827"/>
      <c r="Q827"/>
    </row>
    <row r="828" spans="1:17" s="766" customFormat="1" ht="18" hidden="1">
      <c r="A828"/>
      <c r="B828" s="1297"/>
      <c r="C828" s="34"/>
      <c r="D828" s="34"/>
      <c r="E828" s="1959"/>
      <c r="F828" s="25"/>
      <c r="G828" s="20" t="s">
        <v>789</v>
      </c>
      <c r="H828" s="1246" t="s">
        <v>790</v>
      </c>
      <c r="J828"/>
      <c r="K828" s="3"/>
      <c r="L828" s="3"/>
      <c r="M828" s="3"/>
      <c r="N828" s="3"/>
      <c r="O828"/>
      <c r="P828"/>
      <c r="Q828"/>
    </row>
    <row r="829" spans="1:17" s="766" customFormat="1" ht="18">
      <c r="A829"/>
      <c r="B829" s="1284" t="s">
        <v>1178</v>
      </c>
      <c r="C829" s="2015"/>
      <c r="D829" s="2015"/>
      <c r="E829" s="2015"/>
      <c r="F829" s="2015"/>
      <c r="G829" s="672"/>
      <c r="H829" s="1418"/>
      <c r="J829"/>
      <c r="K829" s="3"/>
      <c r="L829" s="3"/>
      <c r="M829" s="3"/>
      <c r="N829" s="3"/>
      <c r="O829"/>
      <c r="P829"/>
      <c r="Q829"/>
    </row>
    <row r="830" spans="1:17" s="766" customFormat="1" ht="18">
      <c r="A830"/>
      <c r="B830" s="1284"/>
      <c r="C830" s="2085"/>
      <c r="D830" s="2132" t="s">
        <v>1179</v>
      </c>
      <c r="E830" s="2132"/>
      <c r="F830" s="2015"/>
      <c r="G830" s="672"/>
      <c r="H830" s="1418"/>
      <c r="J830"/>
      <c r="K830" s="3"/>
      <c r="L830" s="3"/>
      <c r="M830" s="3"/>
      <c r="N830" s="3"/>
      <c r="O830"/>
      <c r="P830"/>
      <c r="Q830"/>
    </row>
    <row r="831" spans="1:17" s="766" customFormat="1" ht="18">
      <c r="A831"/>
      <c r="B831" s="1297"/>
      <c r="D831" s="2052" t="s">
        <v>2394</v>
      </c>
      <c r="E831" s="2052" t="s">
        <v>938</v>
      </c>
      <c r="F831" s="2052"/>
      <c r="G831" s="23"/>
      <c r="H831" s="1251"/>
      <c r="J831"/>
      <c r="K831" s="3"/>
      <c r="L831" s="3"/>
      <c r="M831" s="3"/>
      <c r="N831" s="3"/>
      <c r="O831"/>
      <c r="P831"/>
      <c r="Q831"/>
    </row>
    <row r="832" spans="1:17" s="766" customFormat="1" ht="18">
      <c r="A832"/>
      <c r="B832" s="1283" t="s">
        <v>3158</v>
      </c>
      <c r="D832" s="2086">
        <v>425.81808999999998</v>
      </c>
      <c r="E832" s="2086">
        <v>257.35830999999996</v>
      </c>
      <c r="F832" s="673"/>
      <c r="G832" s="1863">
        <v>378.03244999999993</v>
      </c>
      <c r="H832" s="1281">
        <v>240.20979</v>
      </c>
      <c r="J832"/>
      <c r="K832" s="3"/>
      <c r="L832" s="3"/>
      <c r="M832" s="3"/>
      <c r="N832" s="3"/>
      <c r="O832"/>
      <c r="P832"/>
      <c r="Q832"/>
    </row>
    <row r="833" spans="1:17" s="766" customFormat="1" ht="18">
      <c r="A833"/>
      <c r="B833" s="1297"/>
      <c r="C833" s="31"/>
      <c r="D833" s="31"/>
      <c r="E833" s="31"/>
      <c r="F833" s="634"/>
      <c r="G833" s="59"/>
      <c r="H833" s="1293"/>
      <c r="J833"/>
      <c r="K833" s="3"/>
      <c r="L833" s="3"/>
      <c r="M833" s="3"/>
      <c r="N833" s="3"/>
      <c r="O833"/>
      <c r="P833"/>
      <c r="Q833"/>
    </row>
    <row r="834" spans="1:17" s="766" customFormat="1" ht="18">
      <c r="A834"/>
      <c r="B834" s="1283" t="s">
        <v>1181</v>
      </c>
      <c r="C834" s="634"/>
      <c r="D834" s="634"/>
      <c r="E834" s="635"/>
      <c r="F834" s="635"/>
      <c r="G834" s="636"/>
      <c r="H834" s="1419"/>
      <c r="J834"/>
      <c r="K834" s="3"/>
      <c r="L834" s="3"/>
      <c r="M834" s="3"/>
      <c r="N834" s="3"/>
      <c r="O834"/>
      <c r="P834"/>
      <c r="Q834"/>
    </row>
    <row r="835" spans="1:17" s="766" customFormat="1" ht="18">
      <c r="A835"/>
      <c r="B835" s="1415" t="s">
        <v>1183</v>
      </c>
      <c r="C835" s="132"/>
      <c r="D835" s="132"/>
      <c r="E835" s="2004"/>
      <c r="F835" s="2004"/>
      <c r="G835" s="1871">
        <f>+GETPIVOTDATA("Sum of Cr. Final 22-23",Pivot!$A$3,"PARTICULARS","Saini Transport Co.","Note",17,"BS Main Head","Trade Payables","BS Sub Head","Trade Payables")/A1</f>
        <v>15.61707</v>
      </c>
      <c r="H835" s="1872">
        <f>122753/A1</f>
        <v>1.22753</v>
      </c>
      <c r="J835"/>
      <c r="K835" s="3"/>
      <c r="L835" s="3"/>
      <c r="M835" s="3"/>
      <c r="N835" s="3"/>
      <c r="O835"/>
      <c r="P835"/>
      <c r="Q835"/>
    </row>
    <row r="836" spans="1:17" s="766" customFormat="1" ht="18">
      <c r="A836"/>
      <c r="B836" s="1415" t="s">
        <v>2854</v>
      </c>
      <c r="C836" s="132"/>
      <c r="D836" s="132"/>
      <c r="E836" s="2004"/>
      <c r="F836" s="2004"/>
      <c r="G836" s="1871">
        <f>+GETPIVOTDATA("Sum of Cr. Final 22-23",Pivot!$A$3,"PARTICULARS","ANAMIKA TRADERS [ WP ]","Note",17,"BS Main Head","Trade Payables","BS Sub Head","Trade Payables")/A1</f>
        <v>1.4683200000000001</v>
      </c>
      <c r="H836" s="1872">
        <f>+GETPIVOTDATA("Sum of Cr. Final 21-22",Pivot!$A$3,"PARTICULARS","ANAMIKA TRADERS [ WP ]","Note",17,"BS Main Head","Trade Payables","BS Sub Head","Trade Payables")/A1</f>
        <v>7.8231099999999998</v>
      </c>
      <c r="J836"/>
      <c r="K836" s="3"/>
      <c r="L836" s="3"/>
      <c r="M836" s="3"/>
      <c r="N836" s="3"/>
      <c r="O836"/>
      <c r="P836"/>
      <c r="Q836"/>
    </row>
    <row r="837" spans="1:17" s="766" customFormat="1" ht="18">
      <c r="A837"/>
      <c r="B837" s="1415" t="s">
        <v>2855</v>
      </c>
      <c r="C837" s="132"/>
      <c r="D837" s="132"/>
      <c r="E837" s="2004"/>
      <c r="F837" s="2004"/>
      <c r="G837" s="1871">
        <f>+GETPIVOTDATA("Sum of Cr. Final 22-23",Pivot!$A$3,"PARTICULARS","SHREE ENTERPRISES [WP]","Note",17,"BS Main Head","Trade Payables","BS Sub Head","Trade Payables")/A1</f>
        <v>21.294930000000001</v>
      </c>
      <c r="H837" s="1872">
        <f>+GETPIVOTDATA("Sum of Cr. Final 21-22",Pivot!$A$3,"PARTICULARS","SHREE ENTERPRISES [WP]","Note",17,"BS Main Head","Trade Payables","BS Sub Head","Trade Payables")/A1</f>
        <v>26.864529999999998</v>
      </c>
      <c r="J837"/>
      <c r="K837" s="3"/>
      <c r="L837" s="3"/>
      <c r="M837" s="3"/>
      <c r="N837" s="3"/>
      <c r="O837"/>
      <c r="P837"/>
      <c r="Q837"/>
    </row>
    <row r="838" spans="1:17" s="766" customFormat="1" ht="18">
      <c r="A838"/>
      <c r="B838" s="1415"/>
      <c r="C838" s="132"/>
      <c r="D838" s="132"/>
      <c r="E838" s="2004"/>
      <c r="F838" s="2004"/>
      <c r="G838" s="58"/>
      <c r="H838" s="1292"/>
      <c r="J838"/>
      <c r="K838" s="3"/>
      <c r="L838" s="3"/>
      <c r="M838" s="3"/>
      <c r="N838" s="3"/>
      <c r="O838"/>
      <c r="P838"/>
      <c r="Q838"/>
    </row>
    <row r="839" spans="1:17" s="766" customFormat="1" ht="18">
      <c r="A839"/>
      <c r="B839" s="1414" t="s">
        <v>16</v>
      </c>
      <c r="C839" s="132"/>
      <c r="D839" s="132"/>
      <c r="E839" s="2004"/>
      <c r="F839" s="2004"/>
      <c r="G839" s="58"/>
      <c r="H839" s="1292"/>
      <c r="J839"/>
      <c r="K839" s="3"/>
      <c r="L839" s="3"/>
      <c r="M839" s="3"/>
      <c r="N839" s="3"/>
      <c r="O839"/>
      <c r="P839"/>
      <c r="Q839"/>
    </row>
    <row r="840" spans="1:17" s="766" customFormat="1" ht="18">
      <c r="A840"/>
      <c r="B840" s="1415" t="s">
        <v>1135</v>
      </c>
      <c r="C840" s="634"/>
      <c r="D840" s="634"/>
      <c r="E840" s="635"/>
      <c r="F840" s="635"/>
      <c r="G840" s="1901">
        <f>+GETPIVOTDATA("Sum of Dr. Final 22-23",Pivot!$A$3,"PARTICULARS","CHANDRA SALES CORPORATION(SALE)","Note",6,"BS Main Head","Financial Assets","BS Sub Head","Trade Receivables")/A1</f>
        <v>3.05863</v>
      </c>
      <c r="H840" s="1902">
        <f>9482492/A1</f>
        <v>94.824920000000006</v>
      </c>
      <c r="J840"/>
      <c r="K840" s="3"/>
      <c r="L840" s="3"/>
      <c r="M840" s="3"/>
      <c r="N840" s="3"/>
      <c r="O840"/>
      <c r="P840"/>
      <c r="Q840"/>
    </row>
    <row r="841" spans="1:17" s="766" customFormat="1" ht="18">
      <c r="A841"/>
      <c r="B841" s="1415" t="s">
        <v>1182</v>
      </c>
      <c r="C841" s="634"/>
      <c r="D841" s="634"/>
      <c r="E841" s="635"/>
      <c r="F841" s="635"/>
      <c r="G841" s="1901">
        <f>+GETPIVOTDATA("Sum of Dr. Final 22-23",Pivot!$A$3,"PARTICULARS","CHANDRA COAL PVT. LTD. (SALE)","Note",6,"BS Main Head","Financial Assets","BS Sub Head","Trade Receivables")/A1</f>
        <v>108.9901</v>
      </c>
      <c r="H841" s="1902">
        <v>0</v>
      </c>
      <c r="J841"/>
      <c r="K841" s="3"/>
      <c r="L841" s="3"/>
      <c r="M841" s="3"/>
      <c r="N841" s="3"/>
      <c r="O841"/>
      <c r="P841"/>
      <c r="Q841"/>
    </row>
    <row r="842" spans="1:17" s="766" customFormat="1" ht="18.600000000000001" thickBot="1">
      <c r="A842"/>
      <c r="B842" s="1232"/>
      <c r="C842" s="1438"/>
      <c r="D842" s="1438"/>
      <c r="E842" s="1433"/>
      <c r="F842" s="1433"/>
      <c r="G842" s="1445"/>
      <c r="H842" s="1446"/>
      <c r="J842"/>
      <c r="K842" s="3"/>
      <c r="L842" s="3"/>
      <c r="M842" s="3"/>
      <c r="N842" s="3"/>
      <c r="O842"/>
      <c r="P842"/>
      <c r="Q842"/>
    </row>
    <row r="843" spans="1:17" s="766" customFormat="1" ht="18">
      <c r="A843"/>
      <c r="B843" s="2102" t="s">
        <v>785</v>
      </c>
      <c r="C843" s="2103"/>
      <c r="D843" s="2103"/>
      <c r="E843" s="2103"/>
      <c r="F843" s="2103"/>
      <c r="G843" s="2103"/>
      <c r="H843" s="2104"/>
      <c r="J843"/>
      <c r="K843" s="3"/>
      <c r="L843" s="3"/>
      <c r="M843" s="3"/>
      <c r="N843" s="3"/>
      <c r="O843"/>
      <c r="P843"/>
      <c r="Q843"/>
    </row>
    <row r="844" spans="1:17" s="766" customFormat="1" ht="18">
      <c r="A844"/>
      <c r="B844" s="2124" t="s">
        <v>2241</v>
      </c>
      <c r="C844" s="2125"/>
      <c r="D844" s="2125"/>
      <c r="E844" s="2125"/>
      <c r="F844" s="2125"/>
      <c r="G844" s="2125"/>
      <c r="H844" s="2126"/>
      <c r="J844"/>
      <c r="K844" s="3"/>
      <c r="L844" s="3"/>
      <c r="M844" s="3"/>
      <c r="N844" s="3"/>
      <c r="O844"/>
      <c r="P844"/>
      <c r="Q844"/>
    </row>
    <row r="845" spans="1:17" s="766" customFormat="1" ht="18">
      <c r="A845"/>
      <c r="B845" s="1531"/>
      <c r="C845" s="1529"/>
      <c r="D845" s="1529"/>
      <c r="E845" s="1529"/>
      <c r="F845" s="1529"/>
      <c r="G845" s="2106" t="s">
        <v>3123</v>
      </c>
      <c r="H845" s="2107"/>
      <c r="J845"/>
      <c r="K845" s="3"/>
      <c r="L845" s="3"/>
      <c r="M845" s="3"/>
      <c r="N845" s="3"/>
      <c r="O845"/>
      <c r="P845"/>
      <c r="Q845"/>
    </row>
    <row r="846" spans="1:17" s="766" customFormat="1" ht="18">
      <c r="A846"/>
      <c r="B846" s="1287" t="s">
        <v>0</v>
      </c>
      <c r="C846" s="1288"/>
      <c r="D846" s="1288"/>
      <c r="E846" s="1289"/>
      <c r="F846" s="1289"/>
      <c r="G846" s="1237" t="s">
        <v>840</v>
      </c>
      <c r="H846" s="1238" t="s">
        <v>840</v>
      </c>
      <c r="J846"/>
      <c r="K846" s="3"/>
      <c r="L846" s="3"/>
      <c r="M846" s="3"/>
      <c r="N846" s="3"/>
      <c r="O846"/>
      <c r="P846"/>
      <c r="Q846"/>
    </row>
    <row r="847" spans="1:17" s="766" customFormat="1" ht="18">
      <c r="A847"/>
      <c r="B847" s="1269"/>
      <c r="C847" s="55"/>
      <c r="D847" s="55"/>
      <c r="E847" s="38"/>
      <c r="F847" s="38"/>
      <c r="G847" s="16" t="s">
        <v>789</v>
      </c>
      <c r="H847" s="1240" t="s">
        <v>790</v>
      </c>
      <c r="J847"/>
      <c r="K847" s="3"/>
      <c r="L847" s="3"/>
      <c r="M847" s="3"/>
      <c r="N847" s="3"/>
      <c r="O847"/>
      <c r="P847"/>
      <c r="Q847"/>
    </row>
    <row r="848" spans="1:17" s="766" customFormat="1" ht="18">
      <c r="A848"/>
      <c r="B848" s="1420"/>
      <c r="C848" s="1411"/>
      <c r="D848" s="1411"/>
      <c r="E848" s="1305"/>
      <c r="F848" s="1305"/>
      <c r="G848" s="1924"/>
      <c r="H848" s="1925"/>
      <c r="J848"/>
      <c r="K848" s="3"/>
      <c r="L848" s="3"/>
      <c r="M848" s="3"/>
      <c r="N848" s="3"/>
      <c r="O848"/>
      <c r="P848"/>
      <c r="Q848"/>
    </row>
    <row r="849" spans="1:17" s="766" customFormat="1" ht="18">
      <c r="A849"/>
      <c r="B849" s="1310" t="s">
        <v>2824</v>
      </c>
      <c r="C849" s="68"/>
      <c r="D849" s="68"/>
      <c r="E849" s="1958"/>
      <c r="F849" s="1958"/>
      <c r="G849" s="1885"/>
      <c r="H849" s="1886"/>
      <c r="J849"/>
      <c r="K849" s="3"/>
      <c r="L849" s="3"/>
      <c r="M849" s="3"/>
      <c r="N849" s="3"/>
      <c r="O849"/>
      <c r="P849"/>
      <c r="Q849"/>
    </row>
    <row r="850" spans="1:17" s="766" customFormat="1" ht="18">
      <c r="A850"/>
      <c r="B850" s="1297"/>
      <c r="C850" s="34"/>
      <c r="D850" s="34"/>
      <c r="E850" s="1958"/>
      <c r="F850" s="1958"/>
      <c r="G850" s="1885"/>
      <c r="H850" s="1886"/>
      <c r="J850"/>
      <c r="K850" s="3"/>
      <c r="L850" s="3"/>
      <c r="M850" s="3"/>
      <c r="N850" s="3"/>
      <c r="O850"/>
      <c r="P850"/>
      <c r="Q850"/>
    </row>
    <row r="851" spans="1:17" s="766" customFormat="1" ht="18">
      <c r="A851"/>
      <c r="B851" s="1311" t="s">
        <v>1184</v>
      </c>
      <c r="C851" s="2004"/>
      <c r="D851" s="2004"/>
      <c r="E851" s="1958"/>
      <c r="F851" s="1958"/>
      <c r="G851" s="1885"/>
      <c r="H851" s="1886"/>
      <c r="J851"/>
      <c r="K851" s="3"/>
      <c r="L851" s="3"/>
      <c r="M851" s="3"/>
      <c r="N851" s="3"/>
      <c r="O851"/>
      <c r="P851"/>
      <c r="Q851"/>
    </row>
    <row r="852" spans="1:17" s="766" customFormat="1" ht="18">
      <c r="A852"/>
      <c r="B852" s="1294" t="s">
        <v>1185</v>
      </c>
      <c r="C852" s="2004"/>
      <c r="D852" s="2004"/>
      <c r="E852" s="1958"/>
      <c r="F852" s="132"/>
      <c r="G852" s="1871">
        <f>5000000/A1</f>
        <v>50</v>
      </c>
      <c r="H852" s="1872">
        <f>5000000/A1</f>
        <v>50</v>
      </c>
      <c r="J852"/>
      <c r="K852" s="3"/>
      <c r="L852" s="3"/>
      <c r="M852" s="3"/>
      <c r="N852" s="3"/>
      <c r="O852"/>
      <c r="P852"/>
      <c r="Q852"/>
    </row>
    <row r="853" spans="1:17" s="766" customFormat="1" ht="18">
      <c r="A853"/>
      <c r="B853" s="1294" t="s">
        <v>2923</v>
      </c>
      <c r="C853" s="34"/>
      <c r="D853" s="34"/>
      <c r="E853" s="1958"/>
      <c r="F853" s="132"/>
      <c r="G853" s="1863">
        <f>825000/A1</f>
        <v>8.25</v>
      </c>
      <c r="H853" s="1281">
        <f>825000/A1</f>
        <v>8.25</v>
      </c>
      <c r="J853"/>
      <c r="K853" s="3"/>
      <c r="L853" s="3"/>
      <c r="M853" s="3"/>
      <c r="N853" s="3"/>
      <c r="O853"/>
      <c r="P853"/>
      <c r="Q853"/>
    </row>
    <row r="854" spans="1:17" s="766" customFormat="1" ht="18">
      <c r="A854"/>
      <c r="B854" s="1294" t="s">
        <v>1186</v>
      </c>
      <c r="C854" s="34"/>
      <c r="D854" s="34"/>
      <c r="E854" s="1958"/>
      <c r="F854" s="132"/>
      <c r="G854" s="1863">
        <f>500000/A1</f>
        <v>5</v>
      </c>
      <c r="H854" s="1281">
        <f>500000/A1</f>
        <v>5</v>
      </c>
      <c r="J854"/>
      <c r="K854" s="3"/>
      <c r="L854" s="3"/>
      <c r="M854" s="3"/>
      <c r="N854" s="3"/>
      <c r="O854"/>
      <c r="P854"/>
      <c r="Q854"/>
    </row>
    <row r="855" spans="1:17" s="766" customFormat="1" ht="18">
      <c r="A855"/>
      <c r="B855" s="1294"/>
      <c r="C855" s="34"/>
      <c r="D855" s="34"/>
      <c r="E855" s="1958"/>
      <c r="F855" s="132"/>
      <c r="G855" s="1863"/>
      <c r="H855" s="1281"/>
      <c r="J855"/>
      <c r="K855" s="3"/>
      <c r="L855" s="3"/>
      <c r="M855" s="3"/>
      <c r="N855" s="3"/>
      <c r="O855"/>
      <c r="P855"/>
      <c r="Q855"/>
    </row>
    <row r="856" spans="1:17" s="766" customFormat="1" ht="18">
      <c r="A856"/>
      <c r="B856" s="1300" t="s">
        <v>1187</v>
      </c>
      <c r="C856" s="34"/>
      <c r="D856" s="34"/>
      <c r="E856" s="1958"/>
      <c r="F856" s="1958"/>
      <c r="G856" s="1863">
        <f>+'MSME Int'!D32/A1</f>
        <v>0.47689019793747045</v>
      </c>
      <c r="H856" s="1281">
        <v>0</v>
      </c>
      <c r="J856"/>
      <c r="K856" s="3"/>
      <c r="L856" s="3"/>
      <c r="M856" s="3"/>
      <c r="N856" s="3"/>
      <c r="O856"/>
      <c r="P856"/>
      <c r="Q856"/>
    </row>
    <row r="857" spans="1:17" s="766" customFormat="1" ht="18">
      <c r="A857"/>
      <c r="B857" s="1229" t="s">
        <v>841</v>
      </c>
      <c r="C857" s="2004"/>
      <c r="D857" s="2004"/>
      <c r="E857" s="1958"/>
      <c r="F857" s="1958"/>
      <c r="G857" s="1863" t="s">
        <v>841</v>
      </c>
      <c r="H857" s="1281" t="s">
        <v>841</v>
      </c>
      <c r="J857"/>
      <c r="K857" s="3"/>
      <c r="L857" s="3"/>
      <c r="M857" s="3"/>
      <c r="N857" s="3"/>
      <c r="O857"/>
      <c r="P857"/>
      <c r="Q857"/>
    </row>
    <row r="858" spans="1:17" s="766" customFormat="1" ht="18">
      <c r="A858"/>
      <c r="B858" s="1300" t="s">
        <v>1188</v>
      </c>
      <c r="C858" s="2004"/>
      <c r="D858" s="2004"/>
      <c r="E858" s="1958"/>
      <c r="F858" s="1958"/>
      <c r="G858" s="1863">
        <f>43930/A1</f>
        <v>0.43930000000000002</v>
      </c>
      <c r="H858" s="1281">
        <f>50620/A1</f>
        <v>0.50619999999999998</v>
      </c>
      <c r="J858"/>
      <c r="K858" s="3"/>
      <c r="L858" s="3"/>
      <c r="M858" s="3"/>
      <c r="N858" s="3"/>
      <c r="O858"/>
      <c r="P858"/>
      <c r="Q858"/>
    </row>
    <row r="859" spans="1:17" s="766" customFormat="1" ht="18">
      <c r="A859"/>
      <c r="B859" s="1229"/>
      <c r="C859" s="2004"/>
      <c r="D859" s="2004"/>
      <c r="E859" s="1958"/>
      <c r="F859" s="1958"/>
      <c r="G859" s="1863"/>
      <c r="H859" s="1281"/>
      <c r="J859"/>
      <c r="K859" s="3"/>
      <c r="L859" s="3"/>
      <c r="M859" s="3"/>
      <c r="N859" s="3"/>
      <c r="O859"/>
      <c r="P859"/>
      <c r="Q859"/>
    </row>
    <row r="860" spans="1:17" s="766" customFormat="1" ht="18">
      <c r="A860"/>
      <c r="B860" s="1300" t="s">
        <v>1189</v>
      </c>
      <c r="C860" s="2004"/>
      <c r="D860" s="2004"/>
      <c r="E860" s="1958"/>
      <c r="F860" s="1958"/>
      <c r="G860" s="1863"/>
      <c r="H860" s="1281"/>
      <c r="J860"/>
      <c r="K860" s="3"/>
      <c r="L860" s="3"/>
      <c r="M860" s="3"/>
      <c r="N860" s="3"/>
      <c r="O860"/>
      <c r="P860"/>
      <c r="Q860"/>
    </row>
    <row r="861" spans="1:17" s="766" customFormat="1" ht="18">
      <c r="A861"/>
      <c r="B861" s="1294" t="s">
        <v>1190</v>
      </c>
      <c r="C861" s="2004"/>
      <c r="D861" s="2004"/>
      <c r="E861" s="1958"/>
      <c r="F861" s="1958"/>
      <c r="G861" s="1863">
        <v>0</v>
      </c>
      <c r="H861" s="1281">
        <f>17225881/A1</f>
        <v>172.25881000000001</v>
      </c>
      <c r="J861"/>
      <c r="K861" s="3"/>
      <c r="L861" s="3"/>
      <c r="M861" s="3"/>
      <c r="N861" s="3"/>
      <c r="O861"/>
      <c r="P861"/>
      <c r="Q861"/>
    </row>
    <row r="862" spans="1:17" s="766" customFormat="1" ht="18">
      <c r="A862"/>
      <c r="B862" s="1294" t="s">
        <v>1191</v>
      </c>
      <c r="C862" s="2004"/>
      <c r="D862" s="2004"/>
      <c r="E862" s="1958"/>
      <c r="F862" s="1958"/>
      <c r="G862" s="1863">
        <v>0</v>
      </c>
      <c r="H862" s="1281">
        <f>10080910/A1</f>
        <v>100.8091</v>
      </c>
      <c r="J862"/>
      <c r="K862" s="3"/>
      <c r="L862" s="3"/>
      <c r="M862" s="3"/>
      <c r="N862" s="3"/>
      <c r="O862"/>
      <c r="P862"/>
      <c r="Q862"/>
    </row>
    <row r="863" spans="1:17" s="766" customFormat="1" ht="79.95" customHeight="1">
      <c r="A863"/>
      <c r="B863" s="2110" t="s">
        <v>3121</v>
      </c>
      <c r="C863" s="2111"/>
      <c r="D863" s="2111"/>
      <c r="E863" s="2111"/>
      <c r="F863" s="2111"/>
      <c r="G863" s="1863"/>
      <c r="H863" s="1281"/>
      <c r="J863"/>
      <c r="K863" s="3"/>
      <c r="L863" s="3"/>
      <c r="M863" s="3"/>
      <c r="N863" s="3"/>
      <c r="O863"/>
      <c r="P863"/>
      <c r="Q863"/>
    </row>
    <row r="864" spans="1:17" s="766" customFormat="1" ht="18">
      <c r="A864"/>
      <c r="B864" s="1245"/>
      <c r="C864" s="2005"/>
      <c r="D864" s="2005"/>
      <c r="E864" s="2005"/>
      <c r="F864" s="2006"/>
      <c r="G864" s="1863"/>
      <c r="H864" s="1281"/>
      <c r="J864"/>
      <c r="K864" s="3"/>
      <c r="L864" s="3"/>
      <c r="M864" s="3"/>
      <c r="N864" s="3"/>
      <c r="O864"/>
      <c r="P864"/>
      <c r="Q864"/>
    </row>
    <row r="865" spans="1:17" s="766" customFormat="1" ht="18">
      <c r="A865"/>
      <c r="B865" s="1300" t="s">
        <v>1192</v>
      </c>
      <c r="C865" s="2006"/>
      <c r="D865" s="2006"/>
      <c r="E865" s="2006"/>
      <c r="F865" s="2006"/>
      <c r="G865" s="1863"/>
      <c r="H865" s="1281"/>
      <c r="J865"/>
      <c r="K865" s="3"/>
      <c r="L865" s="3"/>
      <c r="M865" s="3"/>
      <c r="N865" s="3"/>
      <c r="O865"/>
      <c r="P865"/>
      <c r="Q865"/>
    </row>
    <row r="866" spans="1:17" s="766" customFormat="1" ht="18">
      <c r="A866"/>
      <c r="B866" s="1294" t="s">
        <v>1190</v>
      </c>
      <c r="C866" s="2006"/>
      <c r="D866" s="2006"/>
      <c r="E866" s="2006"/>
      <c r="F866" s="2006"/>
      <c r="G866" s="1863">
        <v>0</v>
      </c>
      <c r="H866" s="1281">
        <v>0</v>
      </c>
      <c r="J866"/>
      <c r="K866" s="3"/>
      <c r="L866" s="3"/>
      <c r="M866" s="3"/>
      <c r="N866" s="3"/>
      <c r="O866"/>
      <c r="P866"/>
      <c r="Q866"/>
    </row>
    <row r="867" spans="1:17" s="766" customFormat="1" ht="18">
      <c r="A867"/>
      <c r="B867" s="1294" t="s">
        <v>1191</v>
      </c>
      <c r="C867" s="2006"/>
      <c r="D867" s="2006"/>
      <c r="E867" s="2006"/>
      <c r="F867" s="2006"/>
      <c r="G867" s="1863">
        <f>667226/A1</f>
        <v>6.6722599999999996</v>
      </c>
      <c r="H867" s="1281">
        <f>667226/A1</f>
        <v>6.6722599999999996</v>
      </c>
      <c r="J867"/>
      <c r="K867" s="3"/>
      <c r="L867" s="3"/>
      <c r="M867" s="3"/>
      <c r="N867" s="3"/>
      <c r="O867"/>
      <c r="P867"/>
      <c r="Q867"/>
    </row>
    <row r="868" spans="1:17" s="766" customFormat="1" ht="18">
      <c r="A868"/>
      <c r="B868" s="1300" t="s">
        <v>1193</v>
      </c>
      <c r="C868" s="2006"/>
      <c r="D868" s="2006"/>
      <c r="E868" s="2006"/>
      <c r="F868" s="2006"/>
      <c r="G868" s="1863"/>
      <c r="H868" s="1281"/>
      <c r="J868"/>
      <c r="K868" s="3"/>
      <c r="L868" s="3"/>
      <c r="M868" s="3"/>
      <c r="N868" s="3"/>
      <c r="O868"/>
      <c r="P868"/>
      <c r="Q868"/>
    </row>
    <row r="869" spans="1:17" s="766" customFormat="1" ht="18">
      <c r="A869"/>
      <c r="B869" s="1294" t="s">
        <v>1190</v>
      </c>
      <c r="C869" s="2006"/>
      <c r="D869" s="2006"/>
      <c r="E869" s="2006"/>
      <c r="F869" s="2006"/>
      <c r="G869" s="1863">
        <v>0</v>
      </c>
      <c r="H869" s="1281">
        <v>0</v>
      </c>
      <c r="J869"/>
      <c r="K869" s="3"/>
      <c r="L869" s="3"/>
      <c r="M869" s="3"/>
      <c r="N869" s="3"/>
      <c r="O869"/>
      <c r="P869"/>
      <c r="Q869"/>
    </row>
    <row r="870" spans="1:17" s="766" customFormat="1" ht="18">
      <c r="A870"/>
      <c r="B870" s="1294" t="s">
        <v>1191</v>
      </c>
      <c r="C870" s="2006"/>
      <c r="D870" s="2006"/>
      <c r="E870" s="2006"/>
      <c r="F870" s="2006"/>
      <c r="G870" s="1863">
        <f>627223/A1</f>
        <v>6.2722300000000004</v>
      </c>
      <c r="H870" s="1281">
        <f>627223/A1</f>
        <v>6.2722300000000004</v>
      </c>
      <c r="J870"/>
      <c r="K870" s="3"/>
      <c r="L870" s="3"/>
      <c r="M870" s="3"/>
      <c r="N870" s="3"/>
      <c r="O870"/>
      <c r="P870"/>
      <c r="Q870"/>
    </row>
    <row r="871" spans="1:17" s="766" customFormat="1" ht="129.6" customHeight="1">
      <c r="A871"/>
      <c r="B871" s="2127" t="s">
        <v>3114</v>
      </c>
      <c r="C871" s="2128"/>
      <c r="D871" s="2128"/>
      <c r="E871" s="2128"/>
      <c r="F871" s="2128"/>
      <c r="G871" s="1897"/>
      <c r="H871" s="1898"/>
      <c r="J871"/>
      <c r="K871" s="3"/>
      <c r="L871" s="3"/>
      <c r="M871" s="3"/>
      <c r="N871" s="3"/>
      <c r="O871"/>
      <c r="P871"/>
      <c r="Q871"/>
    </row>
    <row r="872" spans="1:17" s="766" customFormat="1" ht="18">
      <c r="A872"/>
      <c r="B872" s="1852"/>
      <c r="C872" s="2007"/>
      <c r="D872" s="2007"/>
      <c r="E872" s="2007"/>
      <c r="F872" s="2007"/>
      <c r="G872" s="1897"/>
      <c r="H872" s="1898"/>
      <c r="J872"/>
      <c r="K872" s="3"/>
      <c r="L872" s="3"/>
      <c r="M872" s="3"/>
      <c r="N872" s="3"/>
      <c r="O872"/>
      <c r="P872"/>
      <c r="Q872"/>
    </row>
    <row r="873" spans="1:17" s="766" customFormat="1" ht="18">
      <c r="A873"/>
      <c r="B873" s="1797" t="s">
        <v>1194</v>
      </c>
      <c r="C873" s="2007"/>
      <c r="D873" s="2007"/>
      <c r="E873" s="2007"/>
      <c r="F873" s="2007"/>
      <c r="G873" s="1897"/>
      <c r="H873" s="1898"/>
      <c r="J873"/>
      <c r="K873" s="3"/>
      <c r="L873" s="3"/>
      <c r="M873" s="3"/>
      <c r="N873" s="3"/>
      <c r="O873"/>
      <c r="P873"/>
      <c r="Q873"/>
    </row>
    <row r="874" spans="1:17" s="766" customFormat="1" ht="18">
      <c r="A874"/>
      <c r="B874" s="2129" t="s">
        <v>1195</v>
      </c>
      <c r="C874" s="2130"/>
      <c r="D874" s="2130"/>
      <c r="E874" s="2130"/>
      <c r="F874" s="2131"/>
      <c r="G874" s="1936">
        <f>+((2050000-5000)+(598250-204000))/A1</f>
        <v>24.392499999999998</v>
      </c>
      <c r="H874" s="1937">
        <v>0</v>
      </c>
      <c r="J874"/>
      <c r="K874" s="3"/>
      <c r="L874" s="3"/>
      <c r="M874" s="3"/>
      <c r="N874" s="3"/>
      <c r="O874"/>
      <c r="P874"/>
      <c r="Q874"/>
    </row>
    <row r="875" spans="1:17" s="766" customFormat="1" ht="18">
      <c r="A875"/>
      <c r="B875" s="1421"/>
      <c r="C875" s="2008"/>
      <c r="D875" s="2008"/>
      <c r="E875" s="2008"/>
      <c r="F875" s="2008"/>
      <c r="G875" s="29"/>
      <c r="H875" s="1263"/>
      <c r="J875"/>
      <c r="K875" s="3"/>
      <c r="L875" s="3"/>
      <c r="M875" s="3"/>
      <c r="N875" s="3"/>
      <c r="O875"/>
      <c r="P875"/>
      <c r="Q875"/>
    </row>
    <row r="876" spans="1:17" s="766" customFormat="1" ht="18">
      <c r="A876"/>
      <c r="B876" s="1310" t="s">
        <v>2825</v>
      </c>
      <c r="C876" s="2004"/>
      <c r="D876" s="2004"/>
      <c r="E876" s="1958"/>
      <c r="F876" s="1958"/>
      <c r="G876" s="36"/>
      <c r="H876" s="1267"/>
      <c r="J876"/>
      <c r="K876" s="3"/>
      <c r="L876" s="3"/>
      <c r="M876" s="3"/>
      <c r="N876" s="3"/>
      <c r="O876"/>
      <c r="P876"/>
      <c r="Q876"/>
    </row>
    <row r="877" spans="1:17" s="766" customFormat="1" ht="18">
      <c r="A877"/>
      <c r="B877" s="2110" t="s">
        <v>1197</v>
      </c>
      <c r="C877" s="2111"/>
      <c r="D877" s="2111"/>
      <c r="E877" s="2111"/>
      <c r="F877" s="2111"/>
      <c r="G877" s="2111"/>
      <c r="H877" s="2112"/>
      <c r="J877"/>
      <c r="K877" s="3"/>
      <c r="L877" s="3"/>
      <c r="M877" s="3"/>
      <c r="N877" s="3"/>
      <c r="O877"/>
      <c r="P877"/>
      <c r="Q877"/>
    </row>
    <row r="878" spans="1:17" s="766" customFormat="1" ht="9" customHeight="1">
      <c r="A878"/>
      <c r="B878" s="1422"/>
      <c r="C878" s="1952"/>
      <c r="D878" s="1952"/>
      <c r="E878" s="1952"/>
      <c r="F878" s="1952"/>
      <c r="G878" s="115"/>
      <c r="H878" s="1253"/>
      <c r="J878"/>
      <c r="K878" s="3"/>
      <c r="L878" s="3"/>
      <c r="M878" s="3"/>
      <c r="N878" s="3"/>
      <c r="O878"/>
      <c r="P878"/>
      <c r="Q878"/>
    </row>
    <row r="879" spans="1:17" s="766" customFormat="1" ht="18">
      <c r="A879"/>
      <c r="B879" s="1310" t="s">
        <v>2787</v>
      </c>
      <c r="C879" s="2004"/>
      <c r="D879" s="2004"/>
      <c r="E879" s="1958"/>
      <c r="F879" s="1958"/>
      <c r="G879" s="36"/>
      <c r="H879" s="1267"/>
      <c r="J879"/>
      <c r="K879" s="3"/>
      <c r="L879" s="3"/>
      <c r="M879" s="3"/>
      <c r="N879" s="3"/>
      <c r="O879"/>
      <c r="P879"/>
      <c r="Q879"/>
    </row>
    <row r="880" spans="1:17" s="766" customFormat="1" ht="18">
      <c r="A880"/>
      <c r="B880" s="2110" t="s">
        <v>1198</v>
      </c>
      <c r="C880" s="2111"/>
      <c r="D880" s="2111"/>
      <c r="E880" s="2111"/>
      <c r="F880" s="2111"/>
      <c r="G880" s="2111"/>
      <c r="H880" s="2112"/>
      <c r="J880"/>
      <c r="K880" s="3"/>
      <c r="L880" s="3"/>
      <c r="M880" s="3"/>
      <c r="N880" s="3"/>
      <c r="O880"/>
      <c r="P880"/>
      <c r="Q880"/>
    </row>
    <row r="881" spans="1:17" s="766" customFormat="1" ht="9" customHeight="1">
      <c r="A881"/>
      <c r="B881" s="1565"/>
      <c r="C881" s="2006"/>
      <c r="D881" s="2006"/>
      <c r="E881" s="2006"/>
      <c r="F881" s="2006"/>
      <c r="G881" s="66"/>
      <c r="H881" s="1308"/>
      <c r="J881"/>
      <c r="K881" s="3"/>
      <c r="L881" s="3"/>
      <c r="M881" s="3"/>
      <c r="N881" s="3"/>
      <c r="O881"/>
      <c r="P881"/>
      <c r="Q881"/>
    </row>
    <row r="882" spans="1:17" s="766" customFormat="1" ht="18">
      <c r="A882"/>
      <c r="B882" s="1310" t="s">
        <v>1196</v>
      </c>
      <c r="C882" s="2006"/>
      <c r="D882" s="2006"/>
      <c r="E882" s="2006"/>
      <c r="F882" s="2006"/>
      <c r="G882" s="66"/>
      <c r="H882" s="1308"/>
      <c r="J882"/>
      <c r="K882" s="3"/>
      <c r="L882" s="3"/>
      <c r="M882" s="3"/>
      <c r="N882" s="3"/>
      <c r="O882"/>
      <c r="P882"/>
      <c r="Q882"/>
    </row>
    <row r="883" spans="1:17" s="766" customFormat="1">
      <c r="A883"/>
      <c r="B883" s="2110" t="s">
        <v>1199</v>
      </c>
      <c r="C883" s="2111"/>
      <c r="D883" s="2111"/>
      <c r="E883" s="2111"/>
      <c r="F883" s="2111"/>
      <c r="G883" s="2111"/>
      <c r="H883" s="2112"/>
      <c r="J883"/>
      <c r="K883" s="3"/>
      <c r="L883" s="3"/>
      <c r="M883" s="3"/>
      <c r="N883" s="3"/>
      <c r="O883"/>
      <c r="P883"/>
      <c r="Q883"/>
    </row>
    <row r="884" spans="1:17" s="766" customFormat="1">
      <c r="A884"/>
      <c r="B884" s="2110"/>
      <c r="C884" s="2111"/>
      <c r="D884" s="2111"/>
      <c r="E884" s="2111"/>
      <c r="F884" s="2111"/>
      <c r="G884" s="2111"/>
      <c r="H884" s="2112"/>
      <c r="J884"/>
      <c r="K884" s="3"/>
      <c r="L884" s="3"/>
      <c r="M884" s="3"/>
      <c r="N884" s="3"/>
      <c r="O884"/>
      <c r="P884"/>
      <c r="Q884"/>
    </row>
    <row r="885" spans="1:17" s="766" customFormat="1" ht="11.4" customHeight="1">
      <c r="A885"/>
      <c r="B885" s="2110"/>
      <c r="C885" s="2111"/>
      <c r="D885" s="2111"/>
      <c r="E885" s="2111"/>
      <c r="F885" s="2111"/>
      <c r="G885" s="2111"/>
      <c r="H885" s="2112"/>
      <c r="J885"/>
      <c r="K885" s="3"/>
      <c r="L885" s="3"/>
      <c r="M885" s="3"/>
      <c r="N885" s="3"/>
      <c r="O885"/>
      <c r="P885"/>
      <c r="Q885"/>
    </row>
    <row r="886" spans="1:17" s="766" customFormat="1" ht="7.95" customHeight="1">
      <c r="A886"/>
      <c r="B886" s="1249"/>
      <c r="C886" s="2009"/>
      <c r="D886" s="2009"/>
      <c r="E886" s="2009"/>
      <c r="F886" s="2009"/>
      <c r="G886" s="2009"/>
      <c r="H886" s="1423"/>
      <c r="J886"/>
      <c r="K886" s="3"/>
      <c r="L886" s="3"/>
      <c r="M886" s="3"/>
      <c r="N886" s="3"/>
      <c r="O886"/>
      <c r="P886"/>
      <c r="Q886"/>
    </row>
    <row r="887" spans="1:17" s="766" customFormat="1" ht="18">
      <c r="A887"/>
      <c r="B887" s="1310" t="s">
        <v>2938</v>
      </c>
      <c r="C887" s="2009"/>
      <c r="D887" s="2009"/>
      <c r="E887" s="2009"/>
      <c r="F887" s="2009"/>
      <c r="G887" s="2009"/>
      <c r="H887" s="1423"/>
      <c r="J887"/>
      <c r="K887" s="3"/>
      <c r="L887" s="3"/>
      <c r="M887" s="3"/>
      <c r="N887" s="3"/>
      <c r="O887"/>
      <c r="P887"/>
      <c r="Q887"/>
    </row>
    <row r="888" spans="1:17" s="766" customFormat="1" ht="40.950000000000003" customHeight="1">
      <c r="A888"/>
      <c r="B888" s="2110" t="s">
        <v>2939</v>
      </c>
      <c r="C888" s="2111"/>
      <c r="D888" s="2111"/>
      <c r="E888" s="2111"/>
      <c r="F888" s="2111"/>
      <c r="G888" s="2111"/>
      <c r="H888" s="2112"/>
      <c r="J888"/>
      <c r="K888" s="3"/>
      <c r="L888" s="3"/>
      <c r="M888" s="3"/>
      <c r="N888" s="3"/>
      <c r="O888"/>
      <c r="P888"/>
      <c r="Q888"/>
    </row>
    <row r="889" spans="1:17" s="766" customFormat="1" ht="10.199999999999999" customHeight="1">
      <c r="A889"/>
      <c r="B889" s="1249"/>
      <c r="C889" s="2009"/>
      <c r="D889" s="2009"/>
      <c r="E889" s="2009"/>
      <c r="F889" s="2009"/>
      <c r="G889" s="2009"/>
      <c r="H889" s="1423"/>
      <c r="J889"/>
      <c r="K889" s="3"/>
      <c r="L889" s="3"/>
      <c r="M889" s="3"/>
      <c r="N889" s="3"/>
      <c r="O889"/>
      <c r="P889"/>
      <c r="Q889"/>
    </row>
    <row r="890" spans="1:17" s="766" customFormat="1" ht="18">
      <c r="A890"/>
      <c r="B890" s="1310" t="s">
        <v>2940</v>
      </c>
      <c r="C890" s="2009"/>
      <c r="D890" s="2009"/>
      <c r="E890" s="2009"/>
      <c r="F890" s="2009"/>
      <c r="G890" s="133"/>
      <c r="H890" s="1424"/>
      <c r="J890"/>
      <c r="K890" s="3"/>
      <c r="L890" s="3"/>
      <c r="M890" s="3"/>
      <c r="N890" s="3"/>
      <c r="O890"/>
      <c r="P890"/>
      <c r="Q890"/>
    </row>
    <row r="891" spans="1:17" s="766" customFormat="1" ht="18">
      <c r="A891"/>
      <c r="B891" s="2110" t="s">
        <v>2788</v>
      </c>
      <c r="C891" s="2111"/>
      <c r="D891" s="2111"/>
      <c r="E891" s="2111"/>
      <c r="F891" s="2111"/>
      <c r="G891" s="2111"/>
      <c r="H891" s="2112"/>
      <c r="J891"/>
      <c r="K891" s="3"/>
      <c r="L891" s="3"/>
      <c r="M891" s="3"/>
      <c r="N891" s="3"/>
      <c r="O891"/>
      <c r="P891"/>
      <c r="Q891"/>
    </row>
    <row r="892" spans="1:17" s="766" customFormat="1" ht="10.199999999999999" customHeight="1">
      <c r="A892"/>
      <c r="B892" s="1249"/>
      <c r="C892" s="2009"/>
      <c r="D892" s="2009"/>
      <c r="E892" s="2009"/>
      <c r="F892" s="2009"/>
      <c r="G892" s="2009"/>
      <c r="H892" s="1423"/>
      <c r="J892"/>
      <c r="K892" s="3"/>
      <c r="L892" s="3"/>
      <c r="M892" s="3"/>
      <c r="N892" s="3"/>
      <c r="O892"/>
      <c r="P892"/>
      <c r="Q892"/>
    </row>
    <row r="893" spans="1:17" s="766" customFormat="1" ht="18">
      <c r="A893"/>
      <c r="B893" s="1741" t="s">
        <v>3119</v>
      </c>
      <c r="C893" s="2009"/>
      <c r="D893" s="2009"/>
      <c r="E893" s="2009"/>
      <c r="F893" s="2009"/>
      <c r="G893" s="2009"/>
      <c r="H893" s="1423"/>
      <c r="J893"/>
      <c r="K893" s="3"/>
      <c r="L893" s="3"/>
      <c r="M893" s="3"/>
      <c r="N893" s="3"/>
      <c r="O893"/>
      <c r="P893"/>
      <c r="Q893"/>
    </row>
    <row r="894" spans="1:17" s="766" customFormat="1" ht="39" customHeight="1">
      <c r="A894"/>
      <c r="B894" s="2110" t="s">
        <v>3118</v>
      </c>
      <c r="C894" s="2111"/>
      <c r="D894" s="2111"/>
      <c r="E894" s="2111"/>
      <c r="F894" s="2111"/>
      <c r="G894" s="2111"/>
      <c r="H894" s="2112"/>
      <c r="J894"/>
      <c r="K894" s="3"/>
      <c r="L894" s="3"/>
      <c r="M894" s="3"/>
      <c r="N894" s="3"/>
      <c r="O894"/>
      <c r="P894"/>
      <c r="Q894"/>
    </row>
    <row r="895" spans="1:17" s="766" customFormat="1" ht="9.6" customHeight="1">
      <c r="A895"/>
      <c r="B895" s="1249"/>
      <c r="C895" s="2009"/>
      <c r="D895" s="2009"/>
      <c r="E895" s="2009"/>
      <c r="F895" s="2009"/>
      <c r="G895" s="2009"/>
      <c r="H895" s="1423"/>
      <c r="J895"/>
      <c r="K895" s="3"/>
      <c r="L895" s="3"/>
      <c r="M895" s="3"/>
      <c r="N895" s="3"/>
      <c r="O895"/>
      <c r="P895"/>
      <c r="Q895"/>
    </row>
    <row r="896" spans="1:17" s="766" customFormat="1" ht="18">
      <c r="A896"/>
      <c r="B896" s="1741" t="s">
        <v>3128</v>
      </c>
      <c r="C896" s="2009"/>
      <c r="D896" s="2009"/>
      <c r="E896" s="2009"/>
      <c r="F896" s="2009"/>
      <c r="G896" s="2009"/>
      <c r="H896" s="1423"/>
      <c r="J896"/>
      <c r="K896" s="3"/>
      <c r="L896" s="3"/>
      <c r="M896" s="3"/>
      <c r="N896" s="3"/>
      <c r="O896"/>
      <c r="P896"/>
      <c r="Q896"/>
    </row>
    <row r="897" spans="1:17" s="766" customFormat="1" ht="39" customHeight="1">
      <c r="A897"/>
      <c r="B897" s="2110" t="s">
        <v>3129</v>
      </c>
      <c r="C897" s="2111"/>
      <c r="D897" s="2111"/>
      <c r="E897" s="2111"/>
      <c r="F897" s="2111"/>
      <c r="G897" s="2111"/>
      <c r="H897" s="2112"/>
      <c r="J897"/>
      <c r="K897" s="3"/>
      <c r="L897" s="3"/>
      <c r="M897" s="3"/>
      <c r="N897" s="3"/>
      <c r="O897"/>
      <c r="P897"/>
      <c r="Q897"/>
    </row>
    <row r="898" spans="1:17" s="766" customFormat="1" ht="9" customHeight="1">
      <c r="A898"/>
      <c r="B898" s="1249"/>
      <c r="C898" s="2009"/>
      <c r="D898" s="2009"/>
      <c r="E898" s="2009"/>
      <c r="F898" s="2009"/>
      <c r="G898" s="2009"/>
      <c r="H898" s="1423"/>
      <c r="J898"/>
      <c r="K898" s="3"/>
      <c r="L898" s="3"/>
      <c r="M898" s="3"/>
      <c r="N898" s="3"/>
      <c r="O898"/>
      <c r="P898"/>
      <c r="Q898"/>
    </row>
    <row r="899" spans="1:17" s="766" customFormat="1" ht="18">
      <c r="A899"/>
      <c r="B899" s="1310" t="s">
        <v>3147</v>
      </c>
      <c r="C899" s="1999"/>
      <c r="D899" s="1999"/>
      <c r="E899" s="1958"/>
      <c r="F899" s="1958" t="s">
        <v>841</v>
      </c>
      <c r="G899" s="36"/>
      <c r="H899" s="1267"/>
      <c r="J899"/>
      <c r="K899" s="3"/>
      <c r="L899" s="3"/>
      <c r="M899" s="3"/>
      <c r="N899" s="3"/>
      <c r="O899"/>
      <c r="P899"/>
      <c r="Q899"/>
    </row>
    <row r="900" spans="1:17" s="766" customFormat="1" ht="36">
      <c r="A900"/>
      <c r="B900" s="1396" t="s">
        <v>532</v>
      </c>
      <c r="C900" s="1765"/>
      <c r="D900" s="1766"/>
      <c r="E900" s="2062" t="s">
        <v>3124</v>
      </c>
      <c r="F900" s="2063" t="s">
        <v>1201</v>
      </c>
      <c r="G900" s="2062" t="s">
        <v>3124</v>
      </c>
      <c r="H900" s="2067" t="s">
        <v>1201</v>
      </c>
      <c r="J900"/>
      <c r="K900" s="3"/>
      <c r="L900" s="3"/>
      <c r="M900" s="3"/>
      <c r="N900" s="3"/>
      <c r="O900"/>
      <c r="P900"/>
      <c r="Q900"/>
    </row>
    <row r="901" spans="1:17" ht="18">
      <c r="B901" s="1834"/>
      <c r="C901" s="1767"/>
      <c r="D901" s="1768"/>
      <c r="E901" s="2064" t="s">
        <v>991</v>
      </c>
      <c r="F901" s="2068" t="s">
        <v>991</v>
      </c>
      <c r="G901" s="2064" t="s">
        <v>992</v>
      </c>
      <c r="H901" s="2066" t="s">
        <v>992</v>
      </c>
      <c r="K901" s="10" t="s">
        <v>2396</v>
      </c>
      <c r="L901" s="10" t="s">
        <v>2152</v>
      </c>
      <c r="M901" s="3" t="s">
        <v>2723</v>
      </c>
      <c r="N901" s="3" t="s">
        <v>2726</v>
      </c>
      <c r="O901" t="s">
        <v>2730</v>
      </c>
      <c r="P901" t="s">
        <v>2727</v>
      </c>
      <c r="Q901" t="s">
        <v>2728</v>
      </c>
    </row>
    <row r="902" spans="1:17" ht="35.4" customHeight="1">
      <c r="B902" s="2122" t="s">
        <v>1202</v>
      </c>
      <c r="C902" s="2123"/>
      <c r="D902" s="1730"/>
      <c r="E902" s="945">
        <v>0</v>
      </c>
      <c r="F902" s="21">
        <v>0</v>
      </c>
      <c r="G902" s="945">
        <v>0</v>
      </c>
      <c r="H902" s="1426">
        <v>0</v>
      </c>
      <c r="K902" s="3" t="s">
        <v>42</v>
      </c>
      <c r="L902" s="3">
        <f>+GETPIVOTDATA("Sum of Cr. Final 22-23",Pivot!$A$3,"PARTICULARS","Cellmark Netherlands B.V.","Note",17,"BS Main Head","Trade Payables","BS Sub Head","Trade Payables")</f>
        <v>3812089.3396249996</v>
      </c>
      <c r="M902" s="3">
        <v>264.95</v>
      </c>
      <c r="N902" s="3">
        <v>46366.25</v>
      </c>
      <c r="O902">
        <v>82.216899999999995</v>
      </c>
      <c r="P902" s="539">
        <f>+N902*O902</f>
        <v>3812089.3396249996</v>
      </c>
      <c r="Q902" s="467">
        <v>45019</v>
      </c>
    </row>
    <row r="903" spans="1:17" ht="18">
      <c r="B903" s="1229"/>
      <c r="C903" s="1999"/>
      <c r="D903" s="24"/>
      <c r="E903" s="945" t="s">
        <v>1203</v>
      </c>
      <c r="F903" s="21" t="s">
        <v>1203</v>
      </c>
      <c r="G903" s="945" t="s">
        <v>1203</v>
      </c>
      <c r="H903" s="1426" t="s">
        <v>1203</v>
      </c>
      <c r="K903" s="3" t="s">
        <v>41</v>
      </c>
      <c r="L903" s="3">
        <f>+GETPIVOTDATA("Sum of Cr. Final 22-23",Pivot!$A$3,"PARTICULARS","CANUSA HERSHMAN RECYCLING CO.","Note",17,"BS Main Head","Trade Payables","BS Sub Head","Trade Payables")</f>
        <v>1074019.0967559998</v>
      </c>
      <c r="M903" s="3" t="s">
        <v>2725</v>
      </c>
      <c r="N903" s="3">
        <f>4364.82+8698.42</f>
        <v>13063.24</v>
      </c>
      <c r="O903">
        <f>+O902</f>
        <v>82.216899999999995</v>
      </c>
      <c r="P903" s="539">
        <f t="shared" ref="P903:P905" si="13">+N903*O903</f>
        <v>1074019.0967559998</v>
      </c>
      <c r="Q903" s="467" t="s">
        <v>2729</v>
      </c>
    </row>
    <row r="904" spans="1:17" ht="18">
      <c r="B904" s="1229" t="s">
        <v>1204</v>
      </c>
      <c r="C904" s="1999"/>
      <c r="D904" s="24"/>
      <c r="E904" s="53">
        <f>+N906/A1</f>
        <v>1.2905278999999998</v>
      </c>
      <c r="F904" s="1863">
        <f>+P906/A1</f>
        <v>106.10320330150999</v>
      </c>
      <c r="G904" s="945">
        <v>0</v>
      </c>
      <c r="H904" s="1426">
        <v>0</v>
      </c>
      <c r="K904" s="3" t="s">
        <v>537</v>
      </c>
      <c r="L904" s="3">
        <f>+GETPIVOTDATA("Sum of Cr. Final 22-23",Pivot!$A$3,"PARTICULARS","AMASHA LTD","Note",17,"BS Main Head","Trade Payables","BS Sub Head","Trade Payables")</f>
        <v>1997155.3829699999</v>
      </c>
      <c r="M904" s="3" t="s">
        <v>2724</v>
      </c>
      <c r="N904" s="3">
        <f>7738.5+16552.8</f>
        <v>24291.3</v>
      </c>
      <c r="O904">
        <f t="shared" ref="O904:O905" si="14">+O903</f>
        <v>82.216899999999995</v>
      </c>
      <c r="P904" s="539">
        <f t="shared" si="13"/>
        <v>1997155.3829699999</v>
      </c>
      <c r="Q904" s="467" t="s">
        <v>2729</v>
      </c>
    </row>
    <row r="905" spans="1:17" ht="18">
      <c r="B905" s="1834"/>
      <c r="C905" s="1767"/>
      <c r="D905" s="1768"/>
      <c r="E905" s="946" t="s">
        <v>1203</v>
      </c>
      <c r="F905" s="84" t="s">
        <v>1203</v>
      </c>
      <c r="G905" s="946" t="s">
        <v>1203</v>
      </c>
      <c r="H905" s="1427" t="s">
        <v>1203</v>
      </c>
      <c r="K905" s="3" t="s">
        <v>615</v>
      </c>
      <c r="L905" s="3">
        <f>+GETPIVOTDATA("Sum of Cr. Final 22-23",Pivot!$A$3,"PARTICULARS","REMONDIS TRADE &amp; SALES GMBH","Note",17,"BS Main Head","Trade Payables","BS Sub Head","Trade Payables")</f>
        <v>3727056.5107999998</v>
      </c>
      <c r="M905" s="3">
        <v>259.04000000000002</v>
      </c>
      <c r="N905" s="3">
        <f>259.04*175</f>
        <v>45332</v>
      </c>
      <c r="O905">
        <f t="shared" si="14"/>
        <v>82.216899999999995</v>
      </c>
      <c r="P905" s="539">
        <f t="shared" si="13"/>
        <v>3727056.5107999998</v>
      </c>
      <c r="Q905" s="467"/>
    </row>
    <row r="906" spans="1:17" ht="18">
      <c r="B906" s="1428"/>
      <c r="C906" s="1998"/>
      <c r="D906" s="1998"/>
      <c r="E906" s="1998"/>
      <c r="F906" s="1998"/>
      <c r="G906" s="134"/>
      <c r="H906" s="1429"/>
      <c r="L906" s="3">
        <f>SUM(L902:L905)</f>
        <v>10610320.330150999</v>
      </c>
      <c r="N906" s="3">
        <f>SUM(N902:N905)</f>
        <v>129052.79</v>
      </c>
      <c r="P906" s="539">
        <f>SUM(P902:P905)</f>
        <v>10610320.330150999</v>
      </c>
    </row>
    <row r="907" spans="1:17" ht="18">
      <c r="B907" s="1727" t="s">
        <v>3131</v>
      </c>
      <c r="C907" s="1998"/>
      <c r="D907" s="1998"/>
      <c r="E907" s="1998"/>
      <c r="F907" s="1998"/>
      <c r="G907" s="134"/>
      <c r="H907" s="1429"/>
      <c r="P907" s="539"/>
    </row>
    <row r="908" spans="1:17" ht="18">
      <c r="B908" s="1425" t="s">
        <v>3109</v>
      </c>
      <c r="C908" s="1998"/>
      <c r="D908" s="1998"/>
      <c r="E908" s="1998"/>
      <c r="F908" s="1998"/>
      <c r="G908" s="134"/>
      <c r="H908" s="1429"/>
      <c r="P908" s="539"/>
    </row>
    <row r="909" spans="1:17" ht="18">
      <c r="B909" s="1428"/>
      <c r="C909" s="1998"/>
      <c r="D909" s="1998"/>
      <c r="E909" s="1998"/>
      <c r="F909" s="1998"/>
      <c r="G909" s="2261" t="s">
        <v>3123</v>
      </c>
      <c r="H909" s="2262"/>
      <c r="P909" s="539"/>
    </row>
    <row r="910" spans="1:17" ht="18">
      <c r="B910" s="1287" t="s">
        <v>0</v>
      </c>
      <c r="C910" s="1288"/>
      <c r="D910" s="1288"/>
      <c r="E910" s="1289"/>
      <c r="F910" s="1289"/>
      <c r="G910" s="1237" t="s">
        <v>840</v>
      </c>
      <c r="H910" s="1736" t="s">
        <v>840</v>
      </c>
      <c r="P910" s="539"/>
    </row>
    <row r="911" spans="1:17" ht="18">
      <c r="B911" s="1269"/>
      <c r="C911" s="55"/>
      <c r="D911" s="55"/>
      <c r="E911" s="38"/>
      <c r="F911" s="38"/>
      <c r="G911" s="16" t="s">
        <v>789</v>
      </c>
      <c r="H911" s="1683" t="s">
        <v>790</v>
      </c>
      <c r="P911" s="539"/>
    </row>
    <row r="912" spans="1:17" ht="18">
      <c r="B912" s="1734" t="s">
        <v>3110</v>
      </c>
      <c r="C912" s="1733"/>
      <c r="D912" s="1733"/>
      <c r="E912" s="1733"/>
      <c r="F912" s="1733"/>
      <c r="G912" s="1938">
        <f>+('FINAL LIST OF SAL CAPITALISE22-'!R19+'FINAL LIST OF SAL CAPITALISE22-'!Q48)/A1</f>
        <v>28.160045</v>
      </c>
      <c r="H912" s="1939">
        <v>0</v>
      </c>
      <c r="P912" s="539"/>
    </row>
    <row r="913" spans="2:16" ht="18">
      <c r="B913" s="1735" t="s">
        <v>3111</v>
      </c>
      <c r="C913" s="1998"/>
      <c r="D913" s="1998"/>
      <c r="E913" s="1998"/>
      <c r="F913" s="1998"/>
      <c r="G913" s="1940">
        <f>+('FINAL LIST OF SAL CAPITALISE22-'!R30)/A1</f>
        <v>46.9052425</v>
      </c>
      <c r="H913" s="1941">
        <v>0</v>
      </c>
      <c r="P913" s="539"/>
    </row>
    <row r="914" spans="2:16" ht="18">
      <c r="B914" s="1735" t="s">
        <v>3112</v>
      </c>
      <c r="C914" s="1998"/>
      <c r="D914" s="1998"/>
      <c r="E914" s="1998"/>
      <c r="F914" s="1998"/>
      <c r="G914" s="1940">
        <f>+'FINAL LIST OF SAL CAPITALISE22-'!R25/A1</f>
        <v>17.28</v>
      </c>
      <c r="H914" s="1941">
        <v>0</v>
      </c>
      <c r="P914" s="539"/>
    </row>
    <row r="915" spans="2:16" ht="18">
      <c r="B915" s="1735" t="s">
        <v>3113</v>
      </c>
      <c r="C915" s="1998"/>
      <c r="D915" s="1998"/>
      <c r="E915" s="1998"/>
      <c r="F915" s="1998"/>
      <c r="G915" s="1940">
        <f>+('FINAL LIST OF SAL CAPITALISE22-'!D58+7145896)/A1</f>
        <v>78.272426799999991</v>
      </c>
      <c r="H915" s="1941">
        <f>589158/A1</f>
        <v>5.8915800000000003</v>
      </c>
      <c r="P915" s="539"/>
    </row>
    <row r="916" spans="2:16" ht="18.600000000000001" thickBot="1">
      <c r="B916" s="2010" t="s">
        <v>911</v>
      </c>
      <c r="C916" s="2011"/>
      <c r="D916" s="2011"/>
      <c r="E916" s="2011"/>
      <c r="F916" s="2011"/>
      <c r="G916" s="2057">
        <f>SUM(G912:G915)</f>
        <v>170.61771429999999</v>
      </c>
      <c r="H916" s="2058">
        <f>SUM(H912:H915)</f>
        <v>5.8915800000000003</v>
      </c>
      <c r="P916" s="539"/>
    </row>
    <row r="917" spans="2:16" ht="18">
      <c r="B917" s="2102" t="s">
        <v>785</v>
      </c>
      <c r="C917" s="2103"/>
      <c r="D917" s="2103"/>
      <c r="E917" s="2103"/>
      <c r="F917" s="2103"/>
      <c r="G917" s="2103"/>
      <c r="H917" s="2104"/>
      <c r="P917" s="539"/>
    </row>
    <row r="918" spans="2:16" ht="18">
      <c r="B918" s="2124" t="s">
        <v>2241</v>
      </c>
      <c r="C918" s="2125"/>
      <c r="D918" s="2125"/>
      <c r="E918" s="2125"/>
      <c r="F918" s="2125"/>
      <c r="G918" s="2125"/>
      <c r="H918" s="2126"/>
      <c r="P918" s="539"/>
    </row>
    <row r="919" spans="2:16" ht="18">
      <c r="B919" s="1757"/>
      <c r="C919" s="1998"/>
      <c r="D919" s="1998"/>
      <c r="E919" s="1998"/>
      <c r="F919" s="1998"/>
      <c r="G919" s="1758"/>
      <c r="H919" s="1759"/>
      <c r="P919" s="539"/>
    </row>
    <row r="920" spans="2:16" ht="18">
      <c r="B920" s="1727" t="s">
        <v>3132</v>
      </c>
      <c r="C920" s="1998"/>
      <c r="D920" s="1998"/>
      <c r="E920" s="1998"/>
      <c r="F920" s="1998"/>
      <c r="G920" s="1758"/>
      <c r="H920" s="1759"/>
      <c r="P920" s="539"/>
    </row>
    <row r="921" spans="2:16" s="641" customFormat="1" ht="54">
      <c r="B921" s="1835" t="s">
        <v>3120</v>
      </c>
      <c r="C921" s="1772">
        <v>45016</v>
      </c>
      <c r="D921" s="1772">
        <v>44651</v>
      </c>
      <c r="E921" s="1773" t="s">
        <v>3055</v>
      </c>
      <c r="F921" s="1774" t="s">
        <v>3056</v>
      </c>
      <c r="G921" s="1773" t="s">
        <v>2972</v>
      </c>
      <c r="H921" s="1836" t="s">
        <v>2974</v>
      </c>
      <c r="I921" s="1763"/>
      <c r="K921" s="451"/>
      <c r="L921" s="451"/>
      <c r="M921" s="451"/>
      <c r="N921" s="451"/>
      <c r="P921" s="1764"/>
    </row>
    <row r="922" spans="2:16" ht="18">
      <c r="B922" s="1837"/>
      <c r="C922" s="1776"/>
      <c r="D922" s="1777"/>
      <c r="E922" s="1778"/>
      <c r="F922" s="1779"/>
      <c r="G922" s="1775"/>
      <c r="H922" s="1838"/>
      <c r="P922" s="539"/>
    </row>
    <row r="923" spans="2:16" ht="90">
      <c r="B923" s="1839" t="s">
        <v>2975</v>
      </c>
      <c r="C923" s="1780">
        <f>+'Ratio Analysis'!J7</f>
        <v>0.96353768576759735</v>
      </c>
      <c r="D923" s="1781">
        <f>+'Ratio Analysis'!K7</f>
        <v>1.3252690905607409</v>
      </c>
      <c r="E923" s="1782">
        <f>+(D923-C923)/D923</f>
        <v>0.27294940127222744</v>
      </c>
      <c r="F923" s="1783" t="s">
        <v>3115</v>
      </c>
      <c r="G923" s="1808" t="s">
        <v>2183</v>
      </c>
      <c r="H923" s="1840" t="s">
        <v>2184</v>
      </c>
      <c r="P923" s="539"/>
    </row>
    <row r="924" spans="2:16" ht="18">
      <c r="B924" s="1841"/>
      <c r="C924" s="1784"/>
      <c r="D924" s="1778"/>
      <c r="E924" s="1785"/>
      <c r="F924" s="1779"/>
      <c r="G924" s="1808"/>
      <c r="H924" s="1840"/>
      <c r="P924" s="539"/>
    </row>
    <row r="925" spans="2:16" ht="90">
      <c r="B925" s="1839" t="s">
        <v>2990</v>
      </c>
      <c r="C925" s="1780">
        <f>+'Ratio Analysis'!J19</f>
        <v>1.3694811129557956</v>
      </c>
      <c r="D925" s="1780">
        <f>+'Ratio Analysis'!K19</f>
        <v>0.86335345048413903</v>
      </c>
      <c r="E925" s="1782">
        <f>+(D925-C925)/D925</f>
        <v>-0.58623459741527351</v>
      </c>
      <c r="F925" s="1786" t="s">
        <v>3116</v>
      </c>
      <c r="G925" s="1808" t="s">
        <v>2991</v>
      </c>
      <c r="H925" s="1840" t="s">
        <v>2992</v>
      </c>
      <c r="P925" s="539"/>
    </row>
    <row r="926" spans="2:16" ht="18">
      <c r="B926" s="1839"/>
      <c r="C926" s="1787"/>
      <c r="D926" s="1778"/>
      <c r="E926" s="1785"/>
      <c r="F926" s="1779"/>
      <c r="G926" s="1808"/>
      <c r="H926" s="1840"/>
      <c r="P926" s="539"/>
    </row>
    <row r="927" spans="2:16" ht="18">
      <c r="B927" s="1839"/>
      <c r="C927" s="1784"/>
      <c r="D927" s="1778"/>
      <c r="E927" s="1785"/>
      <c r="F927" s="1779"/>
      <c r="G927" s="1808"/>
      <c r="H927" s="1840"/>
      <c r="P927" s="539"/>
    </row>
    <row r="928" spans="2:16" ht="54">
      <c r="B928" s="1839" t="s">
        <v>2995</v>
      </c>
      <c r="C928" s="1780">
        <f>+'Ratio Analysis'!J23</f>
        <v>-0.94359742436735006</v>
      </c>
      <c r="D928" s="1780">
        <f>+'Ratio Analysis'!K23</f>
        <v>4.611603533552759</v>
      </c>
      <c r="E928" s="1782">
        <f>+(D928-C928)/D928</f>
        <v>1.2046137352228989</v>
      </c>
      <c r="F928" s="1783" t="s">
        <v>3117</v>
      </c>
      <c r="G928" s="1808" t="s">
        <v>2996</v>
      </c>
      <c r="H928" s="1840" t="s">
        <v>2997</v>
      </c>
      <c r="P928" s="539"/>
    </row>
    <row r="929" spans="2:16" ht="18">
      <c r="B929" s="1839"/>
      <c r="C929" s="1787"/>
      <c r="D929" s="1778"/>
      <c r="E929" s="1785"/>
      <c r="F929" s="1779"/>
      <c r="G929" s="1808"/>
      <c r="H929" s="1840"/>
      <c r="P929" s="539"/>
    </row>
    <row r="930" spans="2:16" ht="54">
      <c r="B930" s="1839" t="s">
        <v>3001</v>
      </c>
      <c r="C930" s="1788">
        <f>+'Ratio Analysis'!J27</f>
        <v>-0.14820010927745036</v>
      </c>
      <c r="D930" s="1788">
        <f>+'Ratio Analysis'!K27</f>
        <v>1.4127997271611896E-2</v>
      </c>
      <c r="E930" s="1782">
        <f>+(D930-C930)/D930</f>
        <v>11.489817235117705</v>
      </c>
      <c r="F930" s="1783" t="s">
        <v>3117</v>
      </c>
      <c r="G930" s="1808" t="s">
        <v>3002</v>
      </c>
      <c r="H930" s="1840" t="s">
        <v>3003</v>
      </c>
      <c r="P930" s="539"/>
    </row>
    <row r="931" spans="2:16" ht="18">
      <c r="B931" s="1839"/>
      <c r="C931" s="1784"/>
      <c r="D931" s="1778"/>
      <c r="E931" s="1785"/>
      <c r="F931" s="1779"/>
      <c r="G931" s="1808"/>
      <c r="H931" s="1840"/>
      <c r="P931" s="539"/>
    </row>
    <row r="932" spans="2:16" ht="18">
      <c r="B932" s="1839" t="s">
        <v>3006</v>
      </c>
      <c r="C932" s="1780">
        <f>+'Ratio Analysis'!J32</f>
        <v>28.083283549137033</v>
      </c>
      <c r="D932" s="1780">
        <f>+'Ratio Analysis'!K32</f>
        <v>26.483116961073108</v>
      </c>
      <c r="E932" s="1782">
        <f>+(D932-C932)/D932</f>
        <v>-6.0422139524436286E-2</v>
      </c>
      <c r="F932" s="1789">
        <v>0</v>
      </c>
      <c r="G932" s="1808" t="s">
        <v>3007</v>
      </c>
      <c r="H932" s="1840" t="s">
        <v>3008</v>
      </c>
      <c r="P932" s="539"/>
    </row>
    <row r="933" spans="2:16" ht="18">
      <c r="B933" s="1839"/>
      <c r="C933" s="1784"/>
      <c r="D933" s="1778"/>
      <c r="E933" s="1785"/>
      <c r="F933" s="1789"/>
      <c r="G933" s="1808"/>
      <c r="H933" s="1840"/>
      <c r="P933" s="539"/>
    </row>
    <row r="934" spans="2:16" ht="36">
      <c r="B934" s="1839" t="s">
        <v>3011</v>
      </c>
      <c r="C934" s="1780">
        <f>+'Ratio Analysis'!J36</f>
        <v>7.4538102120260907</v>
      </c>
      <c r="D934" s="1780">
        <f>+'Ratio Analysis'!K36</f>
        <v>6.9746814306236669</v>
      </c>
      <c r="E934" s="1782">
        <f>+(D934-C934)/D934</f>
        <v>-6.8695435937578125E-2</v>
      </c>
      <c r="F934" s="1789">
        <v>0</v>
      </c>
      <c r="G934" s="1808" t="s">
        <v>3012</v>
      </c>
      <c r="H934" s="1840" t="s">
        <v>3013</v>
      </c>
      <c r="P934" s="539"/>
    </row>
    <row r="935" spans="2:16" ht="18">
      <c r="B935" s="1839"/>
      <c r="C935" s="1784"/>
      <c r="D935" s="1778"/>
      <c r="E935" s="1785"/>
      <c r="F935" s="1789"/>
      <c r="G935" s="1808"/>
      <c r="H935" s="1840"/>
      <c r="P935" s="539"/>
    </row>
    <row r="936" spans="2:16" ht="36">
      <c r="B936" s="1839" t="s">
        <v>3017</v>
      </c>
      <c r="C936" s="1780">
        <f>+'Ratio Analysis'!J40</f>
        <v>9.2333545491752176</v>
      </c>
      <c r="D936" s="1780">
        <f>+'Ratio Analysis'!K40</f>
        <v>10.162283695540484</v>
      </c>
      <c r="E936" s="1782">
        <f>+(D936-C936)/D936</f>
        <v>9.1409487689554342E-2</v>
      </c>
      <c r="F936" s="1789">
        <v>0</v>
      </c>
      <c r="G936" s="1808" t="s">
        <v>3018</v>
      </c>
      <c r="H936" s="1840" t="s">
        <v>3019</v>
      </c>
      <c r="P936" s="539"/>
    </row>
    <row r="937" spans="2:16" ht="18">
      <c r="B937" s="1839"/>
      <c r="C937" s="1784"/>
      <c r="D937" s="1778"/>
      <c r="E937" s="1785"/>
      <c r="F937" s="1779"/>
      <c r="G937" s="1808"/>
      <c r="H937" s="1840"/>
      <c r="P937" s="539"/>
    </row>
    <row r="938" spans="2:16" ht="90">
      <c r="B938" s="1839" t="s">
        <v>3022</v>
      </c>
      <c r="C938" s="1780">
        <f>+'Ratio Analysis'!J44</f>
        <v>-141.7559294491187</v>
      </c>
      <c r="D938" s="1780">
        <f>+'Ratio Analysis'!K44</f>
        <v>19.668364081255042</v>
      </c>
      <c r="E938" s="1782">
        <f>+(D938-C938)/D938</f>
        <v>8.2073065590757164</v>
      </c>
      <c r="F938" s="1783" t="s">
        <v>3115</v>
      </c>
      <c r="G938" s="1808" t="s">
        <v>3023</v>
      </c>
      <c r="H938" s="1840" t="s">
        <v>3024</v>
      </c>
      <c r="P938" s="539"/>
    </row>
    <row r="939" spans="2:16" ht="18">
      <c r="B939" s="1839"/>
      <c r="C939" s="1784"/>
      <c r="D939" s="1790"/>
      <c r="E939" s="1785"/>
      <c r="F939" s="1779"/>
      <c r="G939" s="1808"/>
      <c r="H939" s="1840"/>
      <c r="P939" s="539"/>
    </row>
    <row r="940" spans="2:16" ht="54">
      <c r="B940" s="1839" t="s">
        <v>3027</v>
      </c>
      <c r="C940" s="1788">
        <f>+'Ratio Analysis'!J48</f>
        <v>-3.5853883127235114E-2</v>
      </c>
      <c r="D940" s="1788">
        <f>+'Ratio Analysis'!K48</f>
        <v>3.4032168903900557E-3</v>
      </c>
      <c r="E940" s="1782">
        <f>+(D940-C940)/D940</f>
        <v>11.535291837695882</v>
      </c>
      <c r="F940" s="1783" t="s">
        <v>3117</v>
      </c>
      <c r="G940" s="1808" t="s">
        <v>3028</v>
      </c>
      <c r="H940" s="1840" t="s">
        <v>3023</v>
      </c>
      <c r="P940" s="539"/>
    </row>
    <row r="941" spans="2:16" ht="18">
      <c r="B941" s="1839"/>
      <c r="C941" s="1784"/>
      <c r="D941" s="1790"/>
      <c r="E941" s="1785"/>
      <c r="F941" s="1779"/>
      <c r="G941" s="1808"/>
      <c r="H941" s="1840"/>
      <c r="P941" s="539"/>
    </row>
    <row r="942" spans="2:16" ht="54">
      <c r="B942" s="1842" t="s">
        <v>3030</v>
      </c>
      <c r="C942" s="1800">
        <f>+'Ratio Analysis'!J52</f>
        <v>-0.11613773712339166</v>
      </c>
      <c r="D942" s="1800">
        <f>+'Ratio Analysis'!K52</f>
        <v>3.2152073413616998E-2</v>
      </c>
      <c r="E942" s="1801">
        <f>+(D942-C942)/D942</f>
        <v>4.6121383411063368</v>
      </c>
      <c r="F942" s="1802" t="s">
        <v>3117</v>
      </c>
      <c r="G942" s="1809" t="s">
        <v>3031</v>
      </c>
      <c r="H942" s="1843" t="s">
        <v>3122</v>
      </c>
      <c r="P942" s="539"/>
    </row>
    <row r="943" spans="2:16" ht="18">
      <c r="B943" s="1844"/>
      <c r="C943" s="1803"/>
      <c r="D943" s="1804"/>
      <c r="E943" s="1805"/>
      <c r="F943" s="1805"/>
      <c r="G943" s="1806"/>
      <c r="H943" s="1807"/>
      <c r="P943" s="539"/>
    </row>
    <row r="944" spans="2:16" ht="18">
      <c r="B944" s="1310" t="s">
        <v>3133</v>
      </c>
      <c r="C944" s="1999"/>
      <c r="D944" s="1999"/>
      <c r="E944" s="1958"/>
      <c r="F944" s="1958"/>
      <c r="G944" s="36"/>
      <c r="H944" s="1267"/>
    </row>
    <row r="945" spans="1:17" ht="18">
      <c r="B945" s="1400" t="s">
        <v>1205</v>
      </c>
      <c r="C945" s="2000"/>
      <c r="D945" s="2000"/>
      <c r="E945" s="2000"/>
      <c r="F945" s="2000"/>
      <c r="G945" s="135"/>
      <c r="H945" s="1430"/>
    </row>
    <row r="946" spans="1:17" ht="18">
      <c r="B946" s="1256"/>
      <c r="C946" s="1999"/>
      <c r="D946" s="1999"/>
      <c r="E946" s="2001"/>
      <c r="F946" s="2001"/>
      <c r="G946" s="30"/>
      <c r="H946" s="1264"/>
    </row>
    <row r="947" spans="1:17" ht="18">
      <c r="B947" s="1222" t="s">
        <v>823</v>
      </c>
      <c r="C947" s="1223"/>
      <c r="D947" s="1223"/>
      <c r="E947" s="1959" t="s">
        <v>824</v>
      </c>
      <c r="F947" s="1959"/>
      <c r="G947" s="31"/>
      <c r="H947" s="1265"/>
    </row>
    <row r="948" spans="1:17" ht="18">
      <c r="B948" s="1225" t="s">
        <v>825</v>
      </c>
      <c r="C948" s="1223"/>
      <c r="D948" s="1223"/>
      <c r="E948" s="1959"/>
      <c r="F948" s="1959"/>
      <c r="G948" s="31"/>
      <c r="H948" s="1265"/>
    </row>
    <row r="949" spans="1:17" ht="18">
      <c r="B949" s="1225" t="s">
        <v>827</v>
      </c>
      <c r="C949" s="1223"/>
      <c r="D949" s="1223"/>
      <c r="E949" s="1959"/>
      <c r="F949" s="1959"/>
      <c r="G949" s="31"/>
      <c r="H949" s="1265"/>
    </row>
    <row r="950" spans="1:17" ht="18">
      <c r="B950" s="1225" t="s">
        <v>1206</v>
      </c>
      <c r="C950" s="1223"/>
      <c r="D950" s="1223"/>
      <c r="E950" s="1959"/>
      <c r="F950" s="1959"/>
      <c r="G950" s="31"/>
      <c r="H950" s="1265"/>
    </row>
    <row r="951" spans="1:17" s="766" customFormat="1" ht="18">
      <c r="A951"/>
      <c r="B951" s="1225"/>
      <c r="C951" s="1999"/>
      <c r="D951" s="1999"/>
      <c r="E951" s="1958" t="str">
        <f>+F54</f>
        <v>ANIL KUMAR LAKHOTIYA - MANAGING  DIRECTOR</v>
      </c>
      <c r="F951" s="1959"/>
      <c r="G951" s="31"/>
      <c r="H951" s="1265"/>
      <c r="J951"/>
      <c r="K951" s="3"/>
      <c r="L951" s="3"/>
      <c r="M951" s="3"/>
      <c r="N951" s="3"/>
      <c r="O951"/>
      <c r="P951"/>
      <c r="Q951"/>
    </row>
    <row r="952" spans="1:17" s="766" customFormat="1" ht="18">
      <c r="A952"/>
      <c r="B952" s="1225"/>
      <c r="C952" s="1226"/>
      <c r="D952" s="1226"/>
      <c r="E952" s="1959" t="str">
        <f>+F55</f>
        <v>(DIN:00367361)</v>
      </c>
      <c r="F952" s="1959"/>
      <c r="G952" s="31"/>
      <c r="H952" s="1265"/>
      <c r="J952"/>
      <c r="K952" s="3"/>
      <c r="L952" s="3"/>
      <c r="M952" s="3"/>
      <c r="N952" s="3"/>
      <c r="O952"/>
      <c r="P952"/>
      <c r="Q952"/>
    </row>
    <row r="953" spans="1:17" s="766" customFormat="1" ht="18">
      <c r="A953"/>
      <c r="B953" s="1225"/>
      <c r="C953" s="1226"/>
      <c r="D953" s="1226"/>
      <c r="E953" s="1959"/>
      <c r="F953" s="1959"/>
      <c r="G953" s="31"/>
      <c r="H953" s="1265"/>
      <c r="J953"/>
      <c r="K953" s="3"/>
      <c r="L953" s="3"/>
      <c r="M953" s="3"/>
      <c r="N953" s="3"/>
      <c r="O953"/>
      <c r="P953"/>
      <c r="Q953"/>
    </row>
    <row r="954" spans="1:17" s="766" customFormat="1" ht="18">
      <c r="A954"/>
      <c r="B954" s="1225"/>
      <c r="C954" s="1999"/>
      <c r="D954" s="1999"/>
      <c r="E954" s="2002"/>
      <c r="F954" s="2002"/>
      <c r="G954" s="33"/>
      <c r="H954" s="1266"/>
      <c r="J954"/>
      <c r="K954" s="3"/>
      <c r="L954" s="3"/>
      <c r="M954" s="3"/>
      <c r="N954" s="3"/>
      <c r="O954"/>
      <c r="P954"/>
      <c r="Q954"/>
    </row>
    <row r="955" spans="1:17" s="766" customFormat="1" ht="18">
      <c r="A955"/>
      <c r="B955" s="1283" t="str">
        <f t="shared" ref="B955:B960" si="15">+B60</f>
        <v>SUMIT M. DARAK</v>
      </c>
      <c r="C955" s="1226"/>
      <c r="D955" s="1226"/>
      <c r="E955" s="1959"/>
      <c r="F955" s="1999"/>
      <c r="G955" s="31"/>
      <c r="H955" s="1265"/>
      <c r="J955"/>
      <c r="K955" s="3"/>
      <c r="L955" s="3"/>
      <c r="M955" s="3"/>
      <c r="N955" s="3"/>
      <c r="O955"/>
      <c r="P955"/>
      <c r="Q955"/>
    </row>
    <row r="956" spans="1:17" s="766" customFormat="1" ht="18">
      <c r="A956"/>
      <c r="B956" s="1283" t="str">
        <f t="shared" si="15"/>
        <v>PARTNER</v>
      </c>
      <c r="C956" s="1226"/>
      <c r="D956" s="1226"/>
      <c r="E956" s="1958" t="str">
        <f>+F59</f>
        <v>KAILASH AGARWAL - WHOLE TIME DIRECTOR</v>
      </c>
      <c r="F956" s="1999"/>
      <c r="G956" s="31"/>
      <c r="H956" s="1265"/>
      <c r="J956"/>
      <c r="K956" s="3"/>
      <c r="L956" s="3"/>
      <c r="M956" s="3"/>
      <c r="N956" s="3"/>
      <c r="O956"/>
      <c r="P956"/>
      <c r="Q956"/>
    </row>
    <row r="957" spans="1:17" s="766" customFormat="1" ht="18">
      <c r="A957"/>
      <c r="B957" s="1283" t="str">
        <f t="shared" si="15"/>
        <v>MEMBERSHIP NO. : 141902</v>
      </c>
      <c r="C957" s="1226"/>
      <c r="D957" s="1226"/>
      <c r="E957" s="1959" t="str">
        <f>+F60</f>
        <v>(DIN:00367292)</v>
      </c>
      <c r="F957" s="1999"/>
      <c r="G957" s="31"/>
      <c r="H957" s="1265"/>
      <c r="J957"/>
      <c r="K957" s="3"/>
      <c r="L957" s="3"/>
      <c r="M957" s="3"/>
      <c r="N957" s="3"/>
      <c r="O957"/>
      <c r="P957"/>
      <c r="Q957"/>
    </row>
    <row r="958" spans="1:17" s="766" customFormat="1" ht="18">
      <c r="A958"/>
      <c r="B958" s="1297" t="str">
        <f t="shared" si="15"/>
        <v>Place: Nagpur</v>
      </c>
      <c r="C958" s="1226"/>
      <c r="D958" s="1226"/>
      <c r="E958" s="2002"/>
      <c r="F958" s="2002"/>
      <c r="G958" s="33"/>
      <c r="H958" s="1266"/>
      <c r="J958"/>
      <c r="K958" s="3"/>
      <c r="L958" s="3"/>
      <c r="M958" s="3"/>
      <c r="N958" s="3"/>
      <c r="O958"/>
      <c r="P958"/>
      <c r="Q958"/>
    </row>
    <row r="959" spans="1:17" s="766" customFormat="1" ht="18">
      <c r="A959"/>
      <c r="B959" s="1297" t="str">
        <f t="shared" si="15"/>
        <v>Date: 27/05/2023</v>
      </c>
      <c r="C959" s="34"/>
      <c r="D959" s="34"/>
      <c r="E959" s="2002"/>
      <c r="F959" s="1999"/>
      <c r="G959" s="31"/>
      <c r="H959" s="1265"/>
      <c r="J959"/>
      <c r="K959" s="3"/>
      <c r="L959" s="3"/>
      <c r="M959" s="3"/>
      <c r="N959" s="3"/>
      <c r="O959"/>
      <c r="P959"/>
      <c r="Q959"/>
    </row>
    <row r="960" spans="1:17" s="766" customFormat="1" ht="18">
      <c r="A960"/>
      <c r="B960" s="1297" t="str">
        <f t="shared" si="15"/>
        <v>UDIN: 23141902BGXWON4071</v>
      </c>
      <c r="C960" s="35"/>
      <c r="D960" s="35"/>
      <c r="E960" s="2002"/>
      <c r="F960" s="1959"/>
      <c r="G960" s="31"/>
      <c r="H960" s="1265"/>
      <c r="J960"/>
      <c r="K960" s="3"/>
      <c r="L960" s="3"/>
      <c r="M960" s="3"/>
      <c r="N960" s="3"/>
      <c r="O960"/>
      <c r="P960"/>
      <c r="Q960"/>
    </row>
    <row r="961" spans="1:17" s="766" customFormat="1" ht="18">
      <c r="A961"/>
      <c r="B961" s="1229"/>
      <c r="C961" s="35"/>
      <c r="D961" s="35"/>
      <c r="E961" s="1958" t="str">
        <f>+F64</f>
        <v>JARNAIL SINGH SAINI - CHIEF FINANCIAL OFFICER &amp; EXECUTIVE DIRECTOR</v>
      </c>
      <c r="F961" s="1959"/>
      <c r="G961" s="31"/>
      <c r="H961" s="1265"/>
      <c r="J961"/>
      <c r="K961" s="3"/>
      <c r="L961" s="3"/>
      <c r="M961" s="3"/>
      <c r="N961" s="3"/>
      <c r="O961"/>
      <c r="P961"/>
      <c r="Q961"/>
    </row>
    <row r="962" spans="1:17" s="766" customFormat="1" ht="18">
      <c r="A962"/>
      <c r="B962" s="1229"/>
      <c r="C962" s="35"/>
      <c r="D962" s="35"/>
      <c r="E962" s="1959" t="str">
        <f>+F65</f>
        <v>(DIN:00367656)</v>
      </c>
      <c r="F962" s="2002"/>
      <c r="G962" s="33"/>
      <c r="H962" s="1266"/>
      <c r="J962"/>
      <c r="K962" s="3"/>
      <c r="L962" s="3"/>
      <c r="M962" s="3"/>
      <c r="N962" s="3"/>
      <c r="O962"/>
      <c r="P962"/>
      <c r="Q962"/>
    </row>
    <row r="963" spans="1:17" s="766" customFormat="1" ht="18">
      <c r="A963"/>
      <c r="B963" s="1229"/>
      <c r="C963" s="35"/>
      <c r="D963" s="35"/>
      <c r="E963" s="2002"/>
      <c r="F963" s="1999"/>
      <c r="G963" s="31"/>
      <c r="H963" s="1265"/>
      <c r="J963"/>
      <c r="K963" s="3"/>
      <c r="L963" s="3"/>
      <c r="M963" s="3"/>
      <c r="N963" s="3"/>
      <c r="O963"/>
      <c r="P963"/>
      <c r="Q963"/>
    </row>
    <row r="964" spans="1:17" s="766" customFormat="1" ht="18">
      <c r="A964"/>
      <c r="B964" s="1225"/>
      <c r="C964" s="35"/>
      <c r="D964" s="35"/>
      <c r="E964" s="2002"/>
      <c r="F964" s="1999"/>
      <c r="G964" s="31"/>
      <c r="H964" s="1265"/>
      <c r="J964"/>
      <c r="K964" s="3"/>
      <c r="L964" s="3"/>
      <c r="M964" s="3"/>
      <c r="N964" s="3"/>
      <c r="O964"/>
      <c r="P964"/>
      <c r="Q964"/>
    </row>
    <row r="965" spans="1:17" s="766" customFormat="1" ht="18">
      <c r="A965"/>
      <c r="B965" s="1225"/>
      <c r="C965" s="35"/>
      <c r="D965" s="35"/>
      <c r="E965" s="2002"/>
      <c r="F965" s="1999"/>
      <c r="G965" s="31"/>
      <c r="H965" s="1265"/>
      <c r="J965"/>
      <c r="K965" s="3"/>
      <c r="L965" s="3"/>
      <c r="M965" s="3"/>
      <c r="N965" s="3"/>
      <c r="O965"/>
      <c r="P965"/>
      <c r="Q965"/>
    </row>
    <row r="966" spans="1:17" s="766" customFormat="1" ht="18">
      <c r="A966"/>
      <c r="B966" s="1225"/>
      <c r="C966" s="35"/>
      <c r="D966" s="35"/>
      <c r="E966" s="1958" t="str">
        <f>+F69</f>
        <v>OMPRAKASH RATHI - WHOLE TIME DIRECTOR</v>
      </c>
      <c r="F966" s="2002"/>
      <c r="G966" s="33"/>
      <c r="H966" s="1266"/>
      <c r="J966"/>
      <c r="K966" s="3"/>
      <c r="L966" s="3"/>
      <c r="M966" s="3"/>
      <c r="N966" s="3"/>
      <c r="O966"/>
      <c r="P966"/>
      <c r="Q966"/>
    </row>
    <row r="967" spans="1:17" s="766" customFormat="1" ht="18">
      <c r="A967"/>
      <c r="B967" s="1225"/>
      <c r="C967" s="35"/>
      <c r="D967" s="35"/>
      <c r="E967" s="1959" t="str">
        <f>+F70</f>
        <v>(DIN:00895316)</v>
      </c>
      <c r="F967" s="2003"/>
      <c r="G967" s="37"/>
      <c r="H967" s="1268"/>
      <c r="J967"/>
      <c r="K967" s="3"/>
      <c r="L967" s="3"/>
      <c r="M967" s="3"/>
      <c r="N967" s="3"/>
      <c r="O967"/>
      <c r="P967"/>
      <c r="Q967"/>
    </row>
    <row r="968" spans="1:17" s="766" customFormat="1" ht="18">
      <c r="A968"/>
      <c r="B968" s="1225"/>
      <c r="C968" s="35"/>
      <c r="D968" s="35"/>
      <c r="E968" s="2002"/>
      <c r="F968" s="2003"/>
      <c r="G968" s="37"/>
      <c r="H968" s="1268"/>
      <c r="J968"/>
      <c r="K968" s="3"/>
      <c r="L968" s="3"/>
      <c r="M968" s="3"/>
      <c r="N968" s="3"/>
      <c r="O968"/>
      <c r="P968"/>
      <c r="Q968"/>
    </row>
    <row r="969" spans="1:17" s="766" customFormat="1" ht="18">
      <c r="A969"/>
      <c r="B969" s="1225"/>
      <c r="C969" s="35"/>
      <c r="D969" s="35"/>
      <c r="E969" s="2002"/>
      <c r="F969" s="2003"/>
      <c r="G969" s="37"/>
      <c r="H969" s="1268"/>
      <c r="J969"/>
      <c r="K969" s="3"/>
      <c r="L969" s="3"/>
      <c r="M969" s="3"/>
      <c r="N969" s="3"/>
      <c r="O969"/>
      <c r="P969"/>
      <c r="Q969"/>
    </row>
    <row r="970" spans="1:17" s="766" customFormat="1" ht="18">
      <c r="A970"/>
      <c r="B970" s="1225"/>
      <c r="C970" s="35"/>
      <c r="D970" s="35"/>
      <c r="E970" s="2002"/>
      <c r="F970" s="2003"/>
      <c r="G970" s="37"/>
      <c r="H970" s="1268"/>
      <c r="J970"/>
      <c r="K970" s="3"/>
      <c r="L970" s="3"/>
      <c r="M970" s="3"/>
      <c r="N970" s="3"/>
      <c r="O970"/>
      <c r="P970"/>
      <c r="Q970"/>
    </row>
    <row r="971" spans="1:17" s="766" customFormat="1" ht="18">
      <c r="A971"/>
      <c r="B971" s="1225"/>
      <c r="C971" s="35"/>
      <c r="D971" s="35"/>
      <c r="E971" s="1958" t="str">
        <f>+F74</f>
        <v>MAYANK LUNIYA - COMPANY SECRETARY</v>
      </c>
      <c r="F971" s="2002"/>
      <c r="G971" s="33"/>
      <c r="H971" s="1266"/>
      <c r="J971"/>
      <c r="K971" s="3"/>
      <c r="L971" s="3"/>
      <c r="M971" s="3"/>
      <c r="N971" s="3"/>
      <c r="O971"/>
      <c r="P971"/>
      <c r="Q971"/>
    </row>
    <row r="972" spans="1:17" s="766" customFormat="1" ht="18">
      <c r="A972"/>
      <c r="B972" s="1225"/>
      <c r="C972" s="35"/>
      <c r="D972" s="35"/>
      <c r="E972" s="1959" t="str">
        <f>+F75</f>
        <v>Place: Nagpur</v>
      </c>
      <c r="F972" s="2003"/>
      <c r="G972" s="37"/>
      <c r="H972" s="1268"/>
      <c r="J972"/>
      <c r="K972" s="3"/>
      <c r="L972" s="3"/>
      <c r="M972" s="3"/>
      <c r="N972" s="3"/>
      <c r="O972"/>
      <c r="P972"/>
      <c r="Q972"/>
    </row>
    <row r="973" spans="1:17" s="766" customFormat="1" ht="18.600000000000001" thickBot="1">
      <c r="A973"/>
      <c r="B973" s="1431"/>
      <c r="C973" s="1432"/>
      <c r="D973" s="1432"/>
      <c r="E973" s="1433" t="s">
        <v>2969</v>
      </c>
      <c r="F973" s="1434"/>
      <c r="G973" s="1435"/>
      <c r="H973" s="1436"/>
      <c r="J973"/>
      <c r="K973" s="3"/>
      <c r="L973" s="3"/>
      <c r="M973" s="3"/>
      <c r="N973" s="3"/>
      <c r="O973"/>
      <c r="P973"/>
      <c r="Q973"/>
    </row>
  </sheetData>
  <mergeCells count="171">
    <mergeCell ref="B897:H897"/>
    <mergeCell ref="B2:H2"/>
    <mergeCell ref="B3:H3"/>
    <mergeCell ref="F5:F6"/>
    <mergeCell ref="F9:F10"/>
    <mergeCell ref="F64:H64"/>
    <mergeCell ref="B77:H77"/>
    <mergeCell ref="B112:E112"/>
    <mergeCell ref="B114:C114"/>
    <mergeCell ref="B115:C115"/>
    <mergeCell ref="F134:H134"/>
    <mergeCell ref="F135:H135"/>
    <mergeCell ref="B147:H147"/>
    <mergeCell ref="B78:H78"/>
    <mergeCell ref="F80:F81"/>
    <mergeCell ref="B91:C91"/>
    <mergeCell ref="B95:C95"/>
    <mergeCell ref="B105:C105"/>
    <mergeCell ref="B106:C106"/>
    <mergeCell ref="B236:F236"/>
    <mergeCell ref="B261:B262"/>
    <mergeCell ref="C261:H261"/>
    <mergeCell ref="C262:D262"/>
    <mergeCell ref="C263:D263"/>
    <mergeCell ref="C264:D264"/>
    <mergeCell ref="B148:H148"/>
    <mergeCell ref="F216:H216"/>
    <mergeCell ref="F217:H217"/>
    <mergeCell ref="B227:H227"/>
    <mergeCell ref="B228:H228"/>
    <mergeCell ref="B235:F235"/>
    <mergeCell ref="C271:D271"/>
    <mergeCell ref="C272:D272"/>
    <mergeCell ref="C273:D273"/>
    <mergeCell ref="B275:H275"/>
    <mergeCell ref="B276:H278"/>
    <mergeCell ref="B279:H279"/>
    <mergeCell ref="C265:D265"/>
    <mergeCell ref="C266:D266"/>
    <mergeCell ref="B268:B269"/>
    <mergeCell ref="C268:H268"/>
    <mergeCell ref="C269:D269"/>
    <mergeCell ref="C270:D270"/>
    <mergeCell ref="M324:N324"/>
    <mergeCell ref="M325:N325"/>
    <mergeCell ref="M326:N326"/>
    <mergeCell ref="M327:N327"/>
    <mergeCell ref="M328:N328"/>
    <mergeCell ref="M329:N329"/>
    <mergeCell ref="B280:H280"/>
    <mergeCell ref="B292:C292"/>
    <mergeCell ref="B293:F293"/>
    <mergeCell ref="B317:F318"/>
    <mergeCell ref="B321:C322"/>
    <mergeCell ref="M322:N323"/>
    <mergeCell ref="C350:D350"/>
    <mergeCell ref="C351:D351"/>
    <mergeCell ref="C352:D352"/>
    <mergeCell ref="C353:D353"/>
    <mergeCell ref="C354:D354"/>
    <mergeCell ref="C355:D355"/>
    <mergeCell ref="B331:F331"/>
    <mergeCell ref="B337:H337"/>
    <mergeCell ref="B339:F339"/>
    <mergeCell ref="B341:H344"/>
    <mergeCell ref="B345:H345"/>
    <mergeCell ref="B346:H346"/>
    <mergeCell ref="C364:D364"/>
    <mergeCell ref="C365:D365"/>
    <mergeCell ref="C366:D366"/>
    <mergeCell ref="C367:D367"/>
    <mergeCell ref="B381:F381"/>
    <mergeCell ref="B382:F382"/>
    <mergeCell ref="C356:D356"/>
    <mergeCell ref="C357:D357"/>
    <mergeCell ref="C360:D360"/>
    <mergeCell ref="C361:D361"/>
    <mergeCell ref="C362:D362"/>
    <mergeCell ref="C363:D363"/>
    <mergeCell ref="B427:F428"/>
    <mergeCell ref="B435:H437"/>
    <mergeCell ref="B438:C439"/>
    <mergeCell ref="D438:H438"/>
    <mergeCell ref="B445:B446"/>
    <mergeCell ref="C445:C446"/>
    <mergeCell ref="D445:H445"/>
    <mergeCell ref="B383:F383"/>
    <mergeCell ref="B386:F386"/>
    <mergeCell ref="B387:F387"/>
    <mergeCell ref="B393:H393"/>
    <mergeCell ref="B394:H394"/>
    <mergeCell ref="B403:E403"/>
    <mergeCell ref="G395:H395"/>
    <mergeCell ref="B459:F459"/>
    <mergeCell ref="B460:H460"/>
    <mergeCell ref="B461:H461"/>
    <mergeCell ref="B529:H529"/>
    <mergeCell ref="B530:H530"/>
    <mergeCell ref="B582:F582"/>
    <mergeCell ref="G531:H531"/>
    <mergeCell ref="B452:F452"/>
    <mergeCell ref="B453:F453"/>
    <mergeCell ref="B454:F454"/>
    <mergeCell ref="B456:F456"/>
    <mergeCell ref="B457:F457"/>
    <mergeCell ref="B458:F458"/>
    <mergeCell ref="B661:H661"/>
    <mergeCell ref="B663:H663"/>
    <mergeCell ref="B666:H666"/>
    <mergeCell ref="B668:H668"/>
    <mergeCell ref="B669:H669"/>
    <mergeCell ref="B670:H670"/>
    <mergeCell ref="B586:H586"/>
    <mergeCell ref="B587:H587"/>
    <mergeCell ref="B607:F607"/>
    <mergeCell ref="B637:H637"/>
    <mergeCell ref="B638:H638"/>
    <mergeCell ref="B659:F659"/>
    <mergeCell ref="G588:H588"/>
    <mergeCell ref="G639:H639"/>
    <mergeCell ref="B648:B649"/>
    <mergeCell ref="C648:C649"/>
    <mergeCell ref="D648:D649"/>
    <mergeCell ref="E648:E649"/>
    <mergeCell ref="F648:F649"/>
    <mergeCell ref="B683:H683"/>
    <mergeCell ref="B684:H684"/>
    <mergeCell ref="B687:H687"/>
    <mergeCell ref="B688:H688"/>
    <mergeCell ref="B689:H689"/>
    <mergeCell ref="B690:H690"/>
    <mergeCell ref="B671:H671"/>
    <mergeCell ref="B672:H672"/>
    <mergeCell ref="B673:H673"/>
    <mergeCell ref="B674:H674"/>
    <mergeCell ref="B676:H676"/>
    <mergeCell ref="B682:F682"/>
    <mergeCell ref="B863:F863"/>
    <mergeCell ref="B871:F871"/>
    <mergeCell ref="B874:F874"/>
    <mergeCell ref="B697:F697"/>
    <mergeCell ref="B739:H743"/>
    <mergeCell ref="B745:H748"/>
    <mergeCell ref="B749:H749"/>
    <mergeCell ref="B750:H750"/>
    <mergeCell ref="B798:H798"/>
    <mergeCell ref="D830:E830"/>
    <mergeCell ref="G691:H691"/>
    <mergeCell ref="G779:H779"/>
    <mergeCell ref="G800:H800"/>
    <mergeCell ref="G845:H845"/>
    <mergeCell ref="G909:H909"/>
    <mergeCell ref="B902:C902"/>
    <mergeCell ref="B917:H917"/>
    <mergeCell ref="B918:H918"/>
    <mergeCell ref="G4:H4"/>
    <mergeCell ref="G79:H79"/>
    <mergeCell ref="G149:H149"/>
    <mergeCell ref="G229:H229"/>
    <mergeCell ref="G281:H281"/>
    <mergeCell ref="G369:H369"/>
    <mergeCell ref="G462:H462"/>
    <mergeCell ref="B877:H877"/>
    <mergeCell ref="B880:H880"/>
    <mergeCell ref="B883:H885"/>
    <mergeCell ref="B888:H888"/>
    <mergeCell ref="B891:H891"/>
    <mergeCell ref="B894:H894"/>
    <mergeCell ref="B799:H799"/>
    <mergeCell ref="B843:H843"/>
    <mergeCell ref="B844:H844"/>
  </mergeCells>
  <printOptions horizontalCentered="1"/>
  <pageMargins left="0.27559055118110237" right="0.23622047244094491" top="0.62992125984251968" bottom="0.23622047244094491" header="0.15748031496062992" footer="0.15748031496062992"/>
  <pageSetup paperSize="9" scale="10" orientation="portrait" horizontalDpi="4294967293" r:id="rId1"/>
  <rowBreaks count="1" manualBreakCount="1">
    <brk id="226" min="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57"/>
  <sheetViews>
    <sheetView view="pageBreakPreview" topLeftCell="A7" zoomScale="80" zoomScaleNormal="100" zoomScaleSheetLayoutView="80" workbookViewId="0">
      <selection activeCell="F38" sqref="F38"/>
    </sheetView>
  </sheetViews>
  <sheetFormatPr defaultColWidth="8.88671875" defaultRowHeight="14.4"/>
  <cols>
    <col min="2" max="2" width="80.44140625" customWidth="1"/>
    <col min="3" max="5" width="15.44140625" bestFit="1" customWidth="1"/>
    <col min="6" max="7" width="15.44140625" customWidth="1"/>
    <col min="8" max="8" width="2.88671875" customWidth="1"/>
    <col min="10" max="12" width="10.33203125" bestFit="1" customWidth="1"/>
  </cols>
  <sheetData>
    <row r="1" spans="2:13" ht="15" thickBot="1">
      <c r="B1">
        <v>100000</v>
      </c>
    </row>
    <row r="2" spans="2:13" ht="21">
      <c r="B2" s="2287" t="s">
        <v>785</v>
      </c>
      <c r="C2" s="2288"/>
      <c r="D2" s="2288"/>
      <c r="E2" s="2288"/>
      <c r="F2" s="2288"/>
      <c r="G2" s="2289"/>
    </row>
    <row r="3" spans="2:13" ht="21">
      <c r="B3" s="2291" t="s">
        <v>2911</v>
      </c>
      <c r="C3" s="2292"/>
      <c r="D3" s="2292"/>
      <c r="E3" s="2292"/>
      <c r="F3" s="2292"/>
      <c r="G3" s="2293"/>
      <c r="H3" s="1148"/>
      <c r="I3" s="1132"/>
    </row>
    <row r="4" spans="2:13">
      <c r="B4" s="1049"/>
      <c r="G4" s="1050"/>
    </row>
    <row r="5" spans="2:13" ht="15.6">
      <c r="B5" s="1049"/>
      <c r="G5" s="1153" t="s">
        <v>2856</v>
      </c>
      <c r="H5" s="1093"/>
      <c r="I5" s="1093"/>
    </row>
    <row r="6" spans="2:13">
      <c r="B6" s="2280" t="s">
        <v>532</v>
      </c>
      <c r="C6" s="2283" t="s">
        <v>2857</v>
      </c>
      <c r="D6" s="2283"/>
      <c r="E6" s="2283"/>
      <c r="F6" s="2284" t="s">
        <v>840</v>
      </c>
      <c r="G6" s="2285"/>
    </row>
    <row r="7" spans="2:13">
      <c r="B7" s="2281"/>
      <c r="C7" s="505" t="s">
        <v>2858</v>
      </c>
      <c r="D7" s="505" t="s">
        <v>2858</v>
      </c>
      <c r="E7" s="505" t="s">
        <v>2858</v>
      </c>
      <c r="F7" s="505" t="s">
        <v>2859</v>
      </c>
      <c r="G7" s="1154" t="s">
        <v>2859</v>
      </c>
      <c r="J7" s="2279" t="s">
        <v>2914</v>
      </c>
      <c r="K7" s="2279"/>
      <c r="L7" s="2279"/>
      <c r="M7" s="2279"/>
    </row>
    <row r="8" spans="2:13">
      <c r="B8" s="2282"/>
      <c r="C8" s="1151">
        <v>45016</v>
      </c>
      <c r="D8" s="1151">
        <v>44926</v>
      </c>
      <c r="E8" s="1151">
        <v>44651</v>
      </c>
      <c r="F8" s="1151">
        <v>45016</v>
      </c>
      <c r="G8" s="1155">
        <v>44651</v>
      </c>
      <c r="J8" s="1134">
        <v>44742</v>
      </c>
      <c r="K8" s="1134">
        <v>44834</v>
      </c>
      <c r="L8" s="1134">
        <v>44926</v>
      </c>
      <c r="M8" s="1092" t="s">
        <v>911</v>
      </c>
    </row>
    <row r="9" spans="2:13">
      <c r="B9" s="1156" t="s">
        <v>2860</v>
      </c>
      <c r="C9" s="1094"/>
      <c r="D9" s="1094"/>
      <c r="E9" s="1094"/>
      <c r="F9" s="1094"/>
      <c r="G9" s="1157"/>
    </row>
    <row r="10" spans="2:13">
      <c r="B10" s="1158" t="s">
        <v>2861</v>
      </c>
      <c r="C10" s="1095">
        <f>+F10-M10</f>
        <v>2193.1570241999998</v>
      </c>
      <c r="D10" s="1095">
        <v>2486.089935</v>
      </c>
      <c r="E10" s="1095">
        <v>2987.4051075000007</v>
      </c>
      <c r="F10" s="1095">
        <f>+BSPL!G77/'Result 1 P&amp;L'!$B$1</f>
        <v>10523.1770242</v>
      </c>
      <c r="G10" s="1159">
        <f>+BSPL!H77/'Result 1 P&amp;L'!$B$1</f>
        <v>11240.2151075</v>
      </c>
      <c r="J10" s="1133">
        <v>3009.8950675000001</v>
      </c>
      <c r="K10" s="1133">
        <v>2834.0286419999989</v>
      </c>
      <c r="L10" s="3">
        <f>+D10</f>
        <v>2486.089935</v>
      </c>
      <c r="M10" s="3">
        <v>8330.02</v>
      </c>
    </row>
    <row r="11" spans="2:13">
      <c r="B11" s="1158" t="s">
        <v>2862</v>
      </c>
      <c r="C11" s="1095">
        <f>+F11-M11</f>
        <v>9.5489705984900102</v>
      </c>
      <c r="D11" s="1095">
        <v>1.36416</v>
      </c>
      <c r="E11" s="1095">
        <v>0.64218609999999998</v>
      </c>
      <c r="F11" s="1095">
        <f>+BSPL!G78/'Result 1 P&amp;L'!$B$1</f>
        <v>10.91313059849001</v>
      </c>
      <c r="G11" s="1159">
        <f>+BSPL!H78/'Result 1 P&amp;L'!$B$1</f>
        <v>13.9121861</v>
      </c>
      <c r="J11" s="1133">
        <v>0</v>
      </c>
      <c r="K11" s="1133">
        <v>0</v>
      </c>
      <c r="L11" s="3">
        <f>+D11</f>
        <v>1.36416</v>
      </c>
      <c r="M11" s="3">
        <v>1.36416</v>
      </c>
    </row>
    <row r="12" spans="2:13">
      <c r="B12" s="1160" t="s">
        <v>2863</v>
      </c>
      <c r="C12" s="665">
        <f>SUM(C10:C11)</f>
        <v>2202.7059947984899</v>
      </c>
      <c r="D12" s="665">
        <f>SUM(D10:D11)</f>
        <v>2487.4540950000001</v>
      </c>
      <c r="E12" s="665">
        <f>SUM(E10:E11)</f>
        <v>2988.0472936000006</v>
      </c>
      <c r="F12" s="665">
        <f t="shared" ref="F12:G12" si="0">SUM(F10:F11)</f>
        <v>10534.09015479849</v>
      </c>
      <c r="G12" s="1161">
        <f t="shared" si="0"/>
        <v>11254.1272936</v>
      </c>
      <c r="J12" s="1133"/>
      <c r="K12" s="1133"/>
      <c r="L12" s="3"/>
      <c r="M12" s="1096">
        <f t="shared" ref="M12" si="1">SUM(M10:M11)</f>
        <v>8331.3841599999996</v>
      </c>
    </row>
    <row r="13" spans="2:13">
      <c r="B13" s="1162" t="s">
        <v>2864</v>
      </c>
      <c r="C13" s="1095"/>
      <c r="D13" s="1095"/>
      <c r="E13" s="1095"/>
      <c r="F13" s="1095"/>
      <c r="G13" s="1159"/>
      <c r="J13" s="1133"/>
      <c r="K13" s="1133"/>
      <c r="L13" s="3"/>
      <c r="M13" s="3"/>
    </row>
    <row r="14" spans="2:13">
      <c r="B14" s="1158" t="s">
        <v>2865</v>
      </c>
      <c r="C14" s="1095">
        <f t="shared" ref="C14:C19" si="2">+F14-M14</f>
        <v>1647.6161941636155</v>
      </c>
      <c r="D14" s="1095">
        <v>1906.6471474999998</v>
      </c>
      <c r="E14" s="1095">
        <v>2362.6316029999989</v>
      </c>
      <c r="F14" s="1095">
        <f>+BSPL!G81/'Result 1 P&amp;L'!$B$1</f>
        <v>8151.2370566636155</v>
      </c>
      <c r="G14" s="1159">
        <f>+BSPL!H81/'Result 1 P&amp;L'!$B$1</f>
        <v>8669.4216029999989</v>
      </c>
      <c r="J14" s="1133">
        <v>2444.6924749999998</v>
      </c>
      <c r="K14" s="1133">
        <v>2152.2812399999998</v>
      </c>
      <c r="L14" s="3">
        <f t="shared" ref="L14:L19" si="3">+D14</f>
        <v>1906.6471474999998</v>
      </c>
      <c r="M14" s="3">
        <v>6503.6208624999999</v>
      </c>
    </row>
    <row r="15" spans="2:13">
      <c r="B15" s="1158" t="s">
        <v>2866</v>
      </c>
      <c r="C15" s="1095">
        <f t="shared" si="2"/>
        <v>-86.909350000000003</v>
      </c>
      <c r="D15" s="1095">
        <v>-21.503322699999998</v>
      </c>
      <c r="E15" s="1095">
        <v>-15.754802821106537</v>
      </c>
      <c r="F15" s="1095">
        <f>+BSPL!G83/'Result 1 P&amp;L'!$B$1</f>
        <v>6.2306499999999998</v>
      </c>
      <c r="G15" s="1159">
        <f>+BSPL!H83/'Result 1 P&amp;L'!$B$1</f>
        <v>-9.884802821106538</v>
      </c>
      <c r="J15" s="1133">
        <v>82.166894969199987</v>
      </c>
      <c r="K15" s="1133">
        <v>32.465425500000009</v>
      </c>
      <c r="L15" s="3">
        <f t="shared" si="3"/>
        <v>-21.503322699999998</v>
      </c>
      <c r="M15" s="3">
        <v>93.14</v>
      </c>
    </row>
    <row r="16" spans="2:13">
      <c r="B16" s="1158" t="s">
        <v>2867</v>
      </c>
      <c r="C16" s="1095">
        <f t="shared" si="2"/>
        <v>0.10165000000000646</v>
      </c>
      <c r="D16" s="1095">
        <v>55.239999999999981</v>
      </c>
      <c r="E16" s="1095">
        <v>61.869349999999997</v>
      </c>
      <c r="F16" s="1095">
        <f>+BSPL!G84/'Result 1 P&amp;L'!$B$1</f>
        <v>184.73732000000001</v>
      </c>
      <c r="G16" s="1159">
        <f>+BSPL!H84/'Result 1 P&amp;L'!$B$1</f>
        <v>245.33935</v>
      </c>
      <c r="J16" s="1133">
        <v>63.315649999999998</v>
      </c>
      <c r="K16" s="1133">
        <v>66.080020000000019</v>
      </c>
      <c r="L16" s="3">
        <f t="shared" si="3"/>
        <v>55.239999999999981</v>
      </c>
      <c r="M16" s="3">
        <v>184.63567</v>
      </c>
    </row>
    <row r="17" spans="2:13">
      <c r="B17" s="1158" t="s">
        <v>2868</v>
      </c>
      <c r="C17" s="1095">
        <f t="shared" si="2"/>
        <v>19.636410000000012</v>
      </c>
      <c r="D17" s="1095">
        <v>22.518709999999999</v>
      </c>
      <c r="E17" s="1095">
        <v>18.299531500000008</v>
      </c>
      <c r="F17" s="1095">
        <f>+BSPL!G85/'Result 1 P&amp;L'!$B$1</f>
        <v>85.876410000000007</v>
      </c>
      <c r="G17" s="1159">
        <f>+BSPL!H85/'Result 1 P&amp;L'!$B$1</f>
        <v>76.029531500000004</v>
      </c>
      <c r="J17" s="1133">
        <v>19.813669999999998</v>
      </c>
      <c r="K17" s="1133">
        <v>23.914130000000004</v>
      </c>
      <c r="L17" s="3">
        <f t="shared" si="3"/>
        <v>22.518709999999999</v>
      </c>
      <c r="M17" s="3">
        <v>66.239999999999995</v>
      </c>
    </row>
    <row r="18" spans="2:13">
      <c r="B18" s="1158" t="s">
        <v>2869</v>
      </c>
      <c r="C18" s="1095">
        <f t="shared" si="2"/>
        <v>38.542929999999984</v>
      </c>
      <c r="D18" s="1095">
        <v>47.426870000000008</v>
      </c>
      <c r="E18" s="1095">
        <v>46.617484913255652</v>
      </c>
      <c r="F18" s="1095">
        <f>+BSPL!G86/'Result 1 P&amp;L'!$B$1</f>
        <v>180.81666999999999</v>
      </c>
      <c r="G18" s="1159">
        <f>+BSPL!H86/'Result 1 P&amp;L'!$B$1</f>
        <v>179.57748491325566</v>
      </c>
      <c r="J18" s="1133">
        <v>47.422289999999997</v>
      </c>
      <c r="K18" s="1133">
        <v>47.424579999999992</v>
      </c>
      <c r="L18" s="3">
        <f t="shared" si="3"/>
        <v>47.426870000000008</v>
      </c>
      <c r="M18" s="3">
        <v>142.27374</v>
      </c>
    </row>
    <row r="19" spans="2:13">
      <c r="B19" s="1158" t="s">
        <v>2870</v>
      </c>
      <c r="C19" s="1095">
        <f t="shared" si="2"/>
        <v>524.19252759999972</v>
      </c>
      <c r="D19" s="1095">
        <v>683.75563009999996</v>
      </c>
      <c r="E19" s="1095">
        <v>595.62685940000006</v>
      </c>
      <c r="F19" s="1095">
        <f>+BSPL!G87/'Result 1 P&amp;L'!$B$1</f>
        <v>2422.9425275999997</v>
      </c>
      <c r="G19" s="1159">
        <f>+BSPL!H87/'Result 1 P&amp;L'!$B$1</f>
        <v>2062.7868594000001</v>
      </c>
      <c r="J19" s="3">
        <v>444.83439639999995</v>
      </c>
      <c r="K19" s="1133">
        <v>770.16482900000028</v>
      </c>
      <c r="L19" s="3">
        <f t="shared" si="3"/>
        <v>683.75563009999996</v>
      </c>
      <c r="M19" s="3">
        <f>1898.76-0.01</f>
        <v>1898.75</v>
      </c>
    </row>
    <row r="20" spans="2:13">
      <c r="B20" s="1160" t="s">
        <v>2871</v>
      </c>
      <c r="C20" s="665">
        <f>SUM(C14:C19)</f>
        <v>2143.1803617636156</v>
      </c>
      <c r="D20" s="665">
        <f>SUM(D14:D19)</f>
        <v>2694.0850349000002</v>
      </c>
      <c r="E20" s="665">
        <f>SUM(E14:E19)</f>
        <v>3069.290025992148</v>
      </c>
      <c r="F20" s="665">
        <f>SUM(F14:F19)</f>
        <v>11031.840634263617</v>
      </c>
      <c r="G20" s="1161">
        <f>SUM(G14:G19)</f>
        <v>11223.270025992148</v>
      </c>
      <c r="J20" s="3"/>
      <c r="K20" s="3"/>
      <c r="L20" s="3"/>
      <c r="M20" s="1096">
        <f>SUM(M14:M19)</f>
        <v>8888.6602724999993</v>
      </c>
    </row>
    <row r="21" spans="2:13" ht="33.75" customHeight="1">
      <c r="B21" s="1163" t="s">
        <v>2872</v>
      </c>
      <c r="C21" s="665">
        <f>+C12-C20</f>
        <v>59.525633034874318</v>
      </c>
      <c r="D21" s="665">
        <f>+D12-D20</f>
        <v>-206.63093990000016</v>
      </c>
      <c r="E21" s="665">
        <f>+E12-E20</f>
        <v>-81.242732392147445</v>
      </c>
      <c r="F21" s="665">
        <f>+F12-F20</f>
        <v>-497.75047946512677</v>
      </c>
      <c r="G21" s="1161">
        <f>+G12-G20</f>
        <v>30.857267607852918</v>
      </c>
      <c r="J21" s="3"/>
      <c r="K21" s="3"/>
      <c r="L21" s="3"/>
      <c r="M21" s="1096">
        <f>+M12-M20</f>
        <v>-557.27611249999973</v>
      </c>
    </row>
    <row r="22" spans="2:13">
      <c r="B22" s="1164" t="s">
        <v>2873</v>
      </c>
      <c r="C22" s="1097">
        <v>0</v>
      </c>
      <c r="D22" s="1097">
        <v>0</v>
      </c>
      <c r="E22" s="1097">
        <v>0</v>
      </c>
      <c r="F22" s="665">
        <f>+[77]BSPL!F97/'[78]Result 1 P&amp;L'!$A$1</f>
        <v>0</v>
      </c>
      <c r="G22" s="1165">
        <v>0</v>
      </c>
      <c r="J22" s="3"/>
      <c r="K22" s="3"/>
      <c r="L22" s="3"/>
      <c r="M22" s="3"/>
    </row>
    <row r="23" spans="2:13">
      <c r="B23" s="1166" t="s">
        <v>2874</v>
      </c>
      <c r="C23" s="1152">
        <f>+C21+C22</f>
        <v>59.525633034874318</v>
      </c>
      <c r="D23" s="1152">
        <f t="shared" ref="D23:E23" si="4">+D21+D22</f>
        <v>-206.63093990000016</v>
      </c>
      <c r="E23" s="1152">
        <f t="shared" si="4"/>
        <v>-81.242732392147445</v>
      </c>
      <c r="F23" s="1152">
        <f>+F21+F22</f>
        <v>-497.75047946512677</v>
      </c>
      <c r="G23" s="1167">
        <f>+G21+G22</f>
        <v>30.857267607852918</v>
      </c>
      <c r="J23" s="3"/>
      <c r="K23" s="3"/>
      <c r="L23" s="3"/>
      <c r="M23" s="3"/>
    </row>
    <row r="24" spans="2:13">
      <c r="B24" s="1049" t="s">
        <v>2875</v>
      </c>
      <c r="C24" s="1097"/>
      <c r="D24" s="1097"/>
      <c r="E24" s="1097"/>
      <c r="F24" s="1097"/>
      <c r="G24" s="1165"/>
      <c r="J24" s="3"/>
      <c r="K24" s="3"/>
      <c r="L24" s="3"/>
      <c r="M24" s="3"/>
    </row>
    <row r="25" spans="2:13">
      <c r="B25" s="1160" t="s">
        <v>2876</v>
      </c>
      <c r="C25" s="665">
        <f>C12-C20</f>
        <v>59.525633034874318</v>
      </c>
      <c r="D25" s="665">
        <f>D12-D20</f>
        <v>-206.63093990000016</v>
      </c>
      <c r="E25" s="665">
        <f>E12-E20</f>
        <v>-81.242732392147445</v>
      </c>
      <c r="F25" s="665">
        <f>F12-F20</f>
        <v>-497.75047946512677</v>
      </c>
      <c r="G25" s="1161">
        <f>G12-G20</f>
        <v>30.857267607852918</v>
      </c>
      <c r="J25" s="3"/>
      <c r="K25" s="3"/>
      <c r="L25" s="3"/>
      <c r="M25" s="3"/>
    </row>
    <row r="26" spans="2:13">
      <c r="B26" s="1164" t="s">
        <v>2877</v>
      </c>
      <c r="C26" s="1095"/>
      <c r="D26" s="1095"/>
      <c r="E26" s="1095"/>
      <c r="F26" s="1095"/>
      <c r="G26" s="1159"/>
      <c r="J26" s="3"/>
      <c r="K26" s="3"/>
      <c r="L26" s="3"/>
      <c r="M26" s="3"/>
    </row>
    <row r="27" spans="2:13">
      <c r="B27" s="1158" t="s">
        <v>2878</v>
      </c>
      <c r="C27" s="1095">
        <f t="shared" ref="C27:C30" si="5">+F27-M27</f>
        <v>0</v>
      </c>
      <c r="D27" s="1095"/>
      <c r="E27" s="1095">
        <v>-2.1857101368779617</v>
      </c>
      <c r="F27" s="1095">
        <f>+BSPL!G94/'Result 1 P&amp;L'!$B$1</f>
        <v>0</v>
      </c>
      <c r="G27" s="1159">
        <f>+BSPL!H94/'Result 1 P&amp;L'!$B$1</f>
        <v>25.844289863122039</v>
      </c>
      <c r="J27" s="3">
        <v>0</v>
      </c>
      <c r="K27" s="3">
        <v>0</v>
      </c>
      <c r="L27" s="3">
        <f t="shared" ref="L27:L30" si="6">+D27</f>
        <v>0</v>
      </c>
      <c r="M27" s="3">
        <f t="shared" ref="M27:M30" si="7">+SUM(J27:L27)</f>
        <v>0</v>
      </c>
    </row>
    <row r="28" spans="2:13">
      <c r="B28" s="1158" t="s">
        <v>2879</v>
      </c>
      <c r="C28" s="1095">
        <f t="shared" si="5"/>
        <v>0</v>
      </c>
      <c r="D28" s="1095"/>
      <c r="E28" s="1095">
        <v>0</v>
      </c>
      <c r="F28" s="1095">
        <f>+BSPL!G95/'Result 1 P&amp;L'!$B$1</f>
        <v>0</v>
      </c>
      <c r="G28" s="1159">
        <f>+BSPL!H95/'Result 1 P&amp;L'!$B$1</f>
        <v>0</v>
      </c>
      <c r="J28" s="3">
        <v>0</v>
      </c>
      <c r="K28" s="3">
        <v>0</v>
      </c>
      <c r="L28" s="3">
        <f t="shared" si="6"/>
        <v>0</v>
      </c>
      <c r="M28" s="3">
        <f t="shared" si="7"/>
        <v>0</v>
      </c>
    </row>
    <row r="29" spans="2:13">
      <c r="B29" s="1158" t="s">
        <v>2880</v>
      </c>
      <c r="C29" s="1095">
        <f t="shared" si="5"/>
        <v>0</v>
      </c>
      <c r="D29" s="1095"/>
      <c r="E29" s="1095">
        <v>0</v>
      </c>
      <c r="F29" s="1095">
        <f>+BSPL!G96/'Result 1 P&amp;L'!$B$1</f>
        <v>0</v>
      </c>
      <c r="G29" s="1159">
        <f>+BSPL!H96/'Result 1 P&amp;L'!$B$1</f>
        <v>0</v>
      </c>
      <c r="J29" s="3">
        <v>0</v>
      </c>
      <c r="K29" s="3">
        <v>0</v>
      </c>
      <c r="L29" s="3">
        <f t="shared" si="6"/>
        <v>0</v>
      </c>
      <c r="M29" s="3">
        <f t="shared" si="7"/>
        <v>0</v>
      </c>
    </row>
    <row r="30" spans="2:13">
      <c r="B30" s="1158" t="s">
        <v>2881</v>
      </c>
      <c r="C30" s="1095">
        <f t="shared" si="5"/>
        <v>-120.45372031225195</v>
      </c>
      <c r="D30" s="1095"/>
      <c r="E30" s="1095">
        <v>-33.239912160732487</v>
      </c>
      <c r="F30" s="1095">
        <f>+BSPL!G97/'Result 1 P&amp;L'!$B$1</f>
        <v>-120.45372031225195</v>
      </c>
      <c r="G30" s="1159">
        <f>+BSPL!H97/'Result 1 P&amp;L'!$B$1</f>
        <v>-33.239912160732487</v>
      </c>
      <c r="J30" s="3">
        <v>0</v>
      </c>
      <c r="K30" s="3">
        <v>0</v>
      </c>
      <c r="L30" s="3">
        <f t="shared" si="6"/>
        <v>0</v>
      </c>
      <c r="M30" s="3">
        <f t="shared" si="7"/>
        <v>0</v>
      </c>
    </row>
    <row r="31" spans="2:13">
      <c r="B31" s="1168" t="s">
        <v>2882</v>
      </c>
      <c r="C31" s="1098">
        <f>SUM(C27:C30)</f>
        <v>-120.45372031225195</v>
      </c>
      <c r="D31" s="1098">
        <f t="shared" ref="D31:G31" si="8">SUM(D27:D30)</f>
        <v>0</v>
      </c>
      <c r="E31" s="1098">
        <f t="shared" si="8"/>
        <v>-35.425622297610445</v>
      </c>
      <c r="F31" s="1098">
        <f t="shared" si="8"/>
        <v>-120.45372031225195</v>
      </c>
      <c r="G31" s="1169">
        <f t="shared" si="8"/>
        <v>-7.3956222976104478</v>
      </c>
      <c r="J31" s="3"/>
      <c r="K31" s="3"/>
      <c r="L31" s="3"/>
      <c r="M31" s="3"/>
    </row>
    <row r="32" spans="2:13">
      <c r="B32" s="1160" t="s">
        <v>2883</v>
      </c>
      <c r="C32" s="665">
        <f>C25-C31</f>
        <v>179.97935334712628</v>
      </c>
      <c r="D32" s="665">
        <f>D25-D31</f>
        <v>-206.63093990000016</v>
      </c>
      <c r="E32" s="665">
        <f t="shared" ref="E32:G32" si="9">E25-E31</f>
        <v>-45.817110094537</v>
      </c>
      <c r="F32" s="665">
        <f t="shared" si="9"/>
        <v>-377.29675915287481</v>
      </c>
      <c r="G32" s="1161">
        <f t="shared" si="9"/>
        <v>38.252889905463363</v>
      </c>
      <c r="J32" s="3"/>
      <c r="K32" s="3"/>
      <c r="L32" s="3"/>
      <c r="M32" s="3"/>
    </row>
    <row r="33" spans="2:13">
      <c r="B33" s="1164"/>
      <c r="C33" s="1098"/>
      <c r="D33" s="1098"/>
      <c r="E33" s="1098"/>
      <c r="F33" s="1098"/>
      <c r="G33" s="1169"/>
      <c r="J33" s="3"/>
      <c r="K33" s="3"/>
      <c r="L33" s="3"/>
      <c r="M33" s="3"/>
    </row>
    <row r="34" spans="2:13">
      <c r="B34" s="1164" t="s">
        <v>2884</v>
      </c>
      <c r="C34" s="1095"/>
      <c r="D34" s="1095"/>
      <c r="E34" s="1095"/>
      <c r="F34" s="1095"/>
      <c r="G34" s="1159"/>
      <c r="J34" s="3"/>
      <c r="K34" s="3"/>
      <c r="L34" s="3"/>
      <c r="M34" s="3"/>
    </row>
    <row r="35" spans="2:13">
      <c r="B35" s="1158" t="s">
        <v>2885</v>
      </c>
      <c r="C35" s="1095">
        <f t="shared" ref="C35:C36" si="10">+F35-M35</f>
        <v>4.5342099999999999</v>
      </c>
      <c r="D35" s="1095">
        <v>0</v>
      </c>
      <c r="E35" s="1095">
        <v>11.040749999999999</v>
      </c>
      <c r="F35" s="1095">
        <f>+BSPL!G102/'Result 1 P&amp;L'!$B$1</f>
        <v>4.5342099999999999</v>
      </c>
      <c r="G35" s="1159">
        <f>+BSPL!H102/'Result 1 P&amp;L'!$B$1</f>
        <v>11.040749999999999</v>
      </c>
      <c r="J35" s="3">
        <v>0</v>
      </c>
      <c r="K35" s="3">
        <v>0</v>
      </c>
      <c r="L35" s="3">
        <f t="shared" ref="L35:L36" si="11">+D35</f>
        <v>0</v>
      </c>
      <c r="M35" s="3">
        <f t="shared" ref="M35:M36" si="12">+SUM(J35:L35)</f>
        <v>0</v>
      </c>
    </row>
    <row r="36" spans="2:13">
      <c r="B36" s="1158" t="s">
        <v>2886</v>
      </c>
      <c r="C36" s="1100">
        <f t="shared" si="10"/>
        <v>0</v>
      </c>
      <c r="D36" s="1100">
        <v>0</v>
      </c>
      <c r="E36" s="1100">
        <v>0</v>
      </c>
      <c r="F36" s="1100">
        <f>+BSPL!G103/'Result 1 P&amp;L'!$B$1</f>
        <v>0</v>
      </c>
      <c r="G36" s="1170">
        <f>+BSPL!H103/'Result 1 P&amp;L'!$B$1</f>
        <v>0</v>
      </c>
      <c r="J36" s="3">
        <v>0</v>
      </c>
      <c r="K36" s="3">
        <v>0</v>
      </c>
      <c r="L36" s="3">
        <f t="shared" si="11"/>
        <v>0</v>
      </c>
      <c r="M36" s="3">
        <f t="shared" si="12"/>
        <v>0</v>
      </c>
    </row>
    <row r="37" spans="2:13">
      <c r="B37" s="1160" t="s">
        <v>865</v>
      </c>
      <c r="C37" s="1098">
        <f>SUM(C35:C36)</f>
        <v>4.5342099999999999</v>
      </c>
      <c r="D37" s="1098">
        <f t="shared" ref="D37:G37" si="13">SUM(D35:D36)</f>
        <v>0</v>
      </c>
      <c r="E37" s="1098">
        <f t="shared" si="13"/>
        <v>11.040749999999999</v>
      </c>
      <c r="F37" s="1098">
        <f t="shared" si="13"/>
        <v>4.5342099999999999</v>
      </c>
      <c r="G37" s="1169">
        <f t="shared" si="13"/>
        <v>11.040749999999999</v>
      </c>
      <c r="J37" s="504"/>
      <c r="K37" s="504"/>
      <c r="L37" s="504"/>
      <c r="M37" s="504"/>
    </row>
    <row r="38" spans="2:13">
      <c r="B38" s="1171" t="s">
        <v>2887</v>
      </c>
      <c r="C38" s="665">
        <f>+C32+C37</f>
        <v>184.51356334712628</v>
      </c>
      <c r="D38" s="665">
        <f t="shared" ref="D38:G38" si="14">+D32+D37</f>
        <v>-206.63093990000016</v>
      </c>
      <c r="E38" s="665">
        <f t="shared" si="14"/>
        <v>-34.776360094536997</v>
      </c>
      <c r="F38" s="665">
        <f t="shared" si="14"/>
        <v>-372.76254915287484</v>
      </c>
      <c r="G38" s="1161">
        <f t="shared" si="14"/>
        <v>49.293639905463365</v>
      </c>
      <c r="J38" s="3"/>
      <c r="K38" s="3"/>
      <c r="L38" s="3"/>
      <c r="M38" s="3"/>
    </row>
    <row r="39" spans="2:13">
      <c r="B39" s="1172" t="s">
        <v>2888</v>
      </c>
      <c r="C39" s="1099">
        <v>269.23</v>
      </c>
      <c r="D39" s="1099">
        <v>269.23</v>
      </c>
      <c r="E39" s="1099">
        <v>269.23</v>
      </c>
      <c r="F39" s="1099">
        <v>269.23</v>
      </c>
      <c r="G39" s="1173">
        <v>269.23</v>
      </c>
      <c r="J39" s="3"/>
      <c r="K39" s="3"/>
      <c r="L39" s="3"/>
      <c r="M39" s="3"/>
    </row>
    <row r="40" spans="2:13">
      <c r="B40" s="1174" t="s">
        <v>2889</v>
      </c>
      <c r="C40" s="1095"/>
      <c r="D40" s="1149"/>
      <c r="E40" s="1095"/>
      <c r="F40" s="1095"/>
      <c r="G40" s="1159"/>
      <c r="J40" s="3"/>
      <c r="K40" s="3"/>
      <c r="L40" s="3"/>
      <c r="M40" s="3"/>
    </row>
    <row r="41" spans="2:13">
      <c r="B41" s="1172" t="s">
        <v>2890</v>
      </c>
      <c r="C41" s="1095"/>
      <c r="D41" s="1095"/>
      <c r="E41" s="1095"/>
      <c r="F41" s="1095"/>
      <c r="G41" s="1159"/>
      <c r="J41" s="3"/>
      <c r="K41" s="3"/>
      <c r="L41" s="3"/>
      <c r="M41" s="3"/>
    </row>
    <row r="42" spans="2:13">
      <c r="B42" s="1172" t="s">
        <v>2891</v>
      </c>
      <c r="C42" s="1095">
        <f t="shared" ref="C42:G42" si="15">+(C32*100000)/(C39*100000/10)</f>
        <v>6.6849665099404332</v>
      </c>
      <c r="D42" s="1095">
        <f t="shared" si="15"/>
        <v>-7.6748854102440358</v>
      </c>
      <c r="E42" s="1095">
        <f t="shared" si="15"/>
        <v>-1.7017832371777661</v>
      </c>
      <c r="F42" s="1095">
        <f t="shared" si="15"/>
        <v>-14.013919665448679</v>
      </c>
      <c r="G42" s="1159">
        <f t="shared" si="15"/>
        <v>1.4208256845620237</v>
      </c>
      <c r="J42" s="3"/>
      <c r="K42" s="3"/>
      <c r="L42" s="3"/>
      <c r="M42" s="3"/>
    </row>
    <row r="43" spans="2:13" ht="15" thickBot="1">
      <c r="B43" s="1175" t="s">
        <v>2892</v>
      </c>
      <c r="C43" s="1176">
        <f t="shared" ref="C43:G43" si="16">+(C32*100000)/(C39*100000/10)</f>
        <v>6.6849665099404332</v>
      </c>
      <c r="D43" s="1176">
        <f t="shared" si="16"/>
        <v>-7.6748854102440358</v>
      </c>
      <c r="E43" s="1176">
        <f t="shared" si="16"/>
        <v>-1.7017832371777661</v>
      </c>
      <c r="F43" s="1176">
        <f t="shared" si="16"/>
        <v>-14.013919665448679</v>
      </c>
      <c r="G43" s="1177">
        <f t="shared" si="16"/>
        <v>1.4208256845620237</v>
      </c>
      <c r="J43" s="3"/>
      <c r="K43" s="3"/>
      <c r="L43" s="3"/>
      <c r="M43" s="3"/>
    </row>
    <row r="44" spans="2:13">
      <c r="J44" s="3"/>
      <c r="K44" s="3"/>
      <c r="L44" s="3"/>
      <c r="M44" s="3"/>
    </row>
    <row r="45" spans="2:13" ht="15.6">
      <c r="B45" s="1101" t="s">
        <v>2893</v>
      </c>
      <c r="J45" s="3"/>
      <c r="K45" s="3"/>
      <c r="L45" s="3"/>
      <c r="M45" s="3"/>
    </row>
    <row r="46" spans="2:13">
      <c r="B46" s="2286" t="s">
        <v>2936</v>
      </c>
      <c r="C46" s="2286"/>
      <c r="D46" s="2286"/>
      <c r="E46" s="2286"/>
      <c r="F46" s="2286"/>
      <c r="G46" s="2286"/>
      <c r="J46" s="3"/>
      <c r="K46" s="3"/>
      <c r="L46" s="3"/>
      <c r="M46" s="3"/>
    </row>
    <row r="47" spans="2:13">
      <c r="B47" s="449"/>
      <c r="C47" s="449"/>
      <c r="D47" s="449"/>
      <c r="E47" s="449"/>
      <c r="F47" s="449"/>
      <c r="G47" s="449"/>
    </row>
    <row r="48" spans="2:13">
      <c r="B48" s="2286" t="s">
        <v>2894</v>
      </c>
      <c r="C48" s="2286"/>
      <c r="D48" s="2286"/>
      <c r="E48" s="2286"/>
      <c r="F48" s="2286"/>
      <c r="G48" s="2286"/>
    </row>
    <row r="49" spans="2:8">
      <c r="B49" s="2286"/>
      <c r="C49" s="2286"/>
      <c r="D49" s="2286"/>
      <c r="E49" s="2286"/>
      <c r="F49" s="2286"/>
      <c r="G49" s="2286"/>
    </row>
    <row r="50" spans="2:8">
      <c r="B50" s="449"/>
      <c r="C50" s="449"/>
      <c r="D50" s="449"/>
      <c r="E50" s="449"/>
      <c r="F50" s="449"/>
      <c r="G50" s="449"/>
    </row>
    <row r="51" spans="2:8" ht="20.25" customHeight="1">
      <c r="B51" s="2286" t="s">
        <v>2895</v>
      </c>
      <c r="C51" s="2286"/>
      <c r="D51" s="2286"/>
      <c r="E51" s="2286"/>
      <c r="F51" s="2286"/>
      <c r="G51" s="2286"/>
    </row>
    <row r="52" spans="2:8">
      <c r="B52" s="449"/>
      <c r="C52" s="449"/>
      <c r="D52" s="449"/>
      <c r="E52" s="449"/>
      <c r="F52" s="449"/>
      <c r="G52" s="449"/>
    </row>
    <row r="53" spans="2:8" ht="24" customHeight="1">
      <c r="B53" s="2286" t="s">
        <v>2896</v>
      </c>
      <c r="C53" s="2286"/>
      <c r="D53" s="2286"/>
      <c r="E53" s="2286"/>
      <c r="F53" s="2286"/>
      <c r="G53" s="2286"/>
      <c r="H53" s="449"/>
    </row>
    <row r="55" spans="2:8" ht="30" customHeight="1">
      <c r="B55" s="2290" t="s">
        <v>2937</v>
      </c>
      <c r="C55" s="2290"/>
      <c r="D55" s="2290"/>
      <c r="E55" s="2290"/>
      <c r="F55" s="2290"/>
      <c r="G55" s="2290"/>
    </row>
    <row r="57" spans="2:8">
      <c r="B57" t="s">
        <v>2897</v>
      </c>
    </row>
  </sheetData>
  <mergeCells count="11">
    <mergeCell ref="B2:G2"/>
    <mergeCell ref="B48:G49"/>
    <mergeCell ref="B51:G51"/>
    <mergeCell ref="B53:G53"/>
    <mergeCell ref="B55:G55"/>
    <mergeCell ref="B3:G3"/>
    <mergeCell ref="J7:M7"/>
    <mergeCell ref="B6:B8"/>
    <mergeCell ref="C6:E6"/>
    <mergeCell ref="F6:G6"/>
    <mergeCell ref="B46:G46"/>
  </mergeCells>
  <pageMargins left="0.7" right="0.7" top="0.75" bottom="0.75" header="0.3" footer="0.3"/>
  <pageSetup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12"/>
  <sheetViews>
    <sheetView view="pageBreakPreview" zoomScale="60" zoomScaleNormal="100" workbookViewId="0">
      <selection activeCell="T24" sqref="T24"/>
    </sheetView>
  </sheetViews>
  <sheetFormatPr defaultColWidth="9.109375" defaultRowHeight="14.4"/>
  <cols>
    <col min="2" max="2" width="43.44140625" customWidth="1"/>
    <col min="3" max="3" width="22.109375" customWidth="1"/>
    <col min="4" max="4" width="24" customWidth="1"/>
    <col min="5" max="5" width="16" customWidth="1"/>
  </cols>
  <sheetData>
    <row r="1" spans="1:5">
      <c r="C1" s="12">
        <f>+C26-C47</f>
        <v>0</v>
      </c>
      <c r="D1" s="12">
        <f>+D26-D47</f>
        <v>6.3267998484661803E-7</v>
      </c>
    </row>
    <row r="2" spans="1:5" ht="4.5" customHeight="1" thickBot="1">
      <c r="A2">
        <v>100000</v>
      </c>
    </row>
    <row r="3" spans="1:5" ht="19.5" customHeight="1">
      <c r="B3" s="2294" t="s">
        <v>785</v>
      </c>
      <c r="C3" s="2295"/>
      <c r="D3" s="2296"/>
      <c r="E3">
        <v>100000</v>
      </c>
    </row>
    <row r="4" spans="1:5" ht="20.25" customHeight="1">
      <c r="B4" s="2297" t="s">
        <v>2912</v>
      </c>
      <c r="C4" s="2298"/>
      <c r="D4" s="2299"/>
    </row>
    <row r="5" spans="1:5" ht="4.5" customHeight="1">
      <c r="B5" s="1178"/>
      <c r="C5" s="1102"/>
      <c r="D5" s="1179"/>
    </row>
    <row r="6" spans="1:5" ht="15.75" customHeight="1">
      <c r="B6" s="1178"/>
      <c r="D6" s="1180" t="s">
        <v>2856</v>
      </c>
    </row>
    <row r="7" spans="1:5" ht="15.6">
      <c r="B7" s="2280" t="s">
        <v>532</v>
      </c>
      <c r="C7" s="1182" t="s">
        <v>2898</v>
      </c>
      <c r="D7" s="1183" t="s">
        <v>2898</v>
      </c>
    </row>
    <row r="8" spans="1:5" ht="15.6">
      <c r="B8" s="2282"/>
      <c r="C8" s="1103" t="s">
        <v>2913</v>
      </c>
      <c r="D8" s="1104" t="s">
        <v>2899</v>
      </c>
    </row>
    <row r="9" spans="1:5" ht="15.6">
      <c r="B9" s="1105" t="s">
        <v>791</v>
      </c>
      <c r="C9" s="1106"/>
      <c r="D9" s="1107"/>
    </row>
    <row r="10" spans="1:5" ht="21" customHeight="1">
      <c r="B10" s="1108" t="s">
        <v>792</v>
      </c>
      <c r="C10" s="1106"/>
      <c r="D10" s="1107"/>
    </row>
    <row r="11" spans="1:5" ht="15.6">
      <c r="B11" s="1109" t="s">
        <v>82</v>
      </c>
      <c r="C11" s="1110">
        <f>+BSPL!G8/'Result 2 BS'!$E$3</f>
        <v>1934.2826033041993</v>
      </c>
      <c r="D11" s="1111">
        <f>+BSPL!H8/'Result 2 BS'!$E$3</f>
        <v>2079.4752537999998</v>
      </c>
    </row>
    <row r="12" spans="1:5" ht="15.6">
      <c r="B12" s="1109" t="s">
        <v>793</v>
      </c>
      <c r="C12" s="1110">
        <f>+BSPL!G9/'Result 2 BS'!$E$3</f>
        <v>1464.4723261000001</v>
      </c>
      <c r="D12" s="1111">
        <f>+BSPL!H9/'Result 2 BS'!$E$3</f>
        <v>403.80750219999999</v>
      </c>
    </row>
    <row r="13" spans="1:5" ht="15.6">
      <c r="B13" s="1112" t="s">
        <v>15</v>
      </c>
      <c r="C13" s="1110"/>
      <c r="D13" s="1111"/>
    </row>
    <row r="14" spans="1:5" ht="15.6">
      <c r="B14" s="1113" t="s">
        <v>794</v>
      </c>
      <c r="C14" s="1110">
        <f>+BSPL!G11/'Result 2 BS'!E3</f>
        <v>34.696260000000002</v>
      </c>
      <c r="D14" s="1111">
        <f>+BSPL!H11/'Result 2 BS'!$E$3</f>
        <v>23.834786099999999</v>
      </c>
    </row>
    <row r="15" spans="1:5" ht="15.6">
      <c r="B15" s="1114" t="s">
        <v>795</v>
      </c>
      <c r="C15" s="1110">
        <f>+BSPL!G12/'Result 2 BS'!$E$3</f>
        <v>160.09672</v>
      </c>
      <c r="D15" s="1111">
        <f>+BSPL!H12/'Result 2 BS'!$E$3</f>
        <v>232.33047999999999</v>
      </c>
    </row>
    <row r="16" spans="1:5" ht="15.6">
      <c r="B16" s="1115" t="s">
        <v>2900</v>
      </c>
      <c r="C16" s="1181">
        <f>SUM(C11:C15)</f>
        <v>3593.5479094041993</v>
      </c>
      <c r="D16" s="1116">
        <f>SUM(D11:D15)</f>
        <v>2739.4480220999999</v>
      </c>
    </row>
    <row r="17" spans="2:4" ht="15.6">
      <c r="B17" s="1115" t="s">
        <v>797</v>
      </c>
      <c r="C17" s="1117"/>
      <c r="D17" s="1118"/>
    </row>
    <row r="18" spans="2:4" ht="15.6">
      <c r="B18" s="1114" t="s">
        <v>798</v>
      </c>
      <c r="C18" s="1110">
        <f>+BSPL!G15/'Result 2 BS'!$E$3</f>
        <v>626.62680833638399</v>
      </c>
      <c r="D18" s="1111">
        <f>+BSPL!H15/'Result 2 BS'!$E$3</f>
        <v>515.93267000000003</v>
      </c>
    </row>
    <row r="19" spans="2:4" ht="15.6">
      <c r="B19" s="1114" t="s">
        <v>15</v>
      </c>
      <c r="C19" s="1110"/>
      <c r="D19" s="1111"/>
    </row>
    <row r="20" spans="2:4" ht="15.6">
      <c r="B20" s="1119" t="s">
        <v>799</v>
      </c>
      <c r="C20" s="1110">
        <f>+BSPL!G17/'Result 2 BS'!$E$3</f>
        <v>1158.0224214</v>
      </c>
      <c r="D20" s="1111">
        <f>+BSPL!H17/'Result 2 BS'!$E$3</f>
        <v>1665.5474643</v>
      </c>
    </row>
    <row r="21" spans="2:4" ht="15.6">
      <c r="B21" s="1119" t="s">
        <v>800</v>
      </c>
      <c r="C21" s="1110">
        <f>+BSPL!G18/'Result 2 BS'!$E$3</f>
        <v>2.3977564</v>
      </c>
      <c r="D21" s="1111">
        <f>+BSPL!H18/'Result 2 BS'!$E$3</f>
        <v>0.79146640000000001</v>
      </c>
    </row>
    <row r="22" spans="2:4" ht="15.6">
      <c r="B22" s="1119" t="s">
        <v>2901</v>
      </c>
      <c r="C22" s="1110">
        <f>+BSPL!G19/'Result 2 BS'!$E$3</f>
        <v>74.27</v>
      </c>
      <c r="D22" s="1111">
        <f>+BSPL!H19/'Result 2 BS'!$E$3</f>
        <v>83.625</v>
      </c>
    </row>
    <row r="23" spans="2:4" ht="15.6">
      <c r="B23" s="1114" t="s">
        <v>801</v>
      </c>
      <c r="C23" s="1110">
        <f>+BSPL!G20/'Result 2 BS'!$E$3</f>
        <v>100.37184000000001</v>
      </c>
      <c r="D23" s="1111">
        <f>+BSPL!H20/'Result 2 BS'!$E$3</f>
        <v>62.557370199999994</v>
      </c>
    </row>
    <row r="24" spans="2:4" ht="15.6">
      <c r="B24" s="1114" t="s">
        <v>802</v>
      </c>
      <c r="C24" s="1110">
        <f>+BSPL!G21/'Result 2 BS'!$E$3</f>
        <v>35.504003599999997</v>
      </c>
      <c r="D24" s="1111">
        <f>+BSPL!H21/'Result 2 BS'!$E$3</f>
        <v>23.229578136877958</v>
      </c>
    </row>
    <row r="25" spans="2:4" ht="15.6">
      <c r="B25" s="1120" t="s">
        <v>2902</v>
      </c>
      <c r="C25" s="1181">
        <f>SUM(C18:C24)</f>
        <v>1997.1928297363838</v>
      </c>
      <c r="D25" s="1116">
        <f>SUM(D18:D24)</f>
        <v>2351.683549036878</v>
      </c>
    </row>
    <row r="26" spans="2:4" ht="16.2" thickBot="1">
      <c r="B26" s="1185" t="s">
        <v>2903</v>
      </c>
      <c r="C26" s="1186">
        <f>C25+C16</f>
        <v>5590.7407391405832</v>
      </c>
      <c r="D26" s="1187">
        <f>SUM(D25+D16)</f>
        <v>5091.1315711368779</v>
      </c>
    </row>
    <row r="27" spans="2:4" ht="16.2" thickTop="1">
      <c r="B27" s="1121"/>
      <c r="C27" s="1122"/>
      <c r="D27" s="1123"/>
    </row>
    <row r="28" spans="2:4" ht="15.6">
      <c r="B28" s="1124" t="s">
        <v>804</v>
      </c>
      <c r="C28" s="1125"/>
      <c r="D28" s="1118"/>
    </row>
    <row r="29" spans="2:4" ht="15.6">
      <c r="B29" s="1126" t="s">
        <v>2904</v>
      </c>
      <c r="C29" s="1110"/>
      <c r="D29" s="1118"/>
    </row>
    <row r="30" spans="2:4" ht="15.6">
      <c r="B30" s="1113" t="s">
        <v>806</v>
      </c>
      <c r="C30" s="1110">
        <f>+BSPL!G28/'Result 2 BS'!$E$3</f>
        <v>269.22649999999999</v>
      </c>
      <c r="D30" s="1111">
        <f>+BSPL!H28/'Result 2 BS'!$E$3</f>
        <v>269.22649999999999</v>
      </c>
    </row>
    <row r="31" spans="2:4" ht="15.6">
      <c r="B31" s="1113" t="s">
        <v>807</v>
      </c>
      <c r="C31" s="1110">
        <f>+BSPL!G29/'Result 2 BS'!$E$3</f>
        <v>2090.2524207525889</v>
      </c>
      <c r="D31" s="1111">
        <f>+BSPL!H29/'Result 2 BS'!$E$3</f>
        <v>2463.0149699054614</v>
      </c>
    </row>
    <row r="32" spans="2:4" ht="15.6">
      <c r="B32" s="1127" t="s">
        <v>2905</v>
      </c>
      <c r="C32" s="1181">
        <f>SUM(C30:C31)</f>
        <v>2359.4789207525891</v>
      </c>
      <c r="D32" s="1116">
        <f>SUM(D30:D31)</f>
        <v>2732.2414699054616</v>
      </c>
    </row>
    <row r="33" spans="2:6" ht="15.6">
      <c r="B33" s="1126" t="s">
        <v>809</v>
      </c>
      <c r="C33" s="1110"/>
      <c r="D33" s="1118"/>
    </row>
    <row r="34" spans="2:6" ht="15.6">
      <c r="B34" s="1113" t="s">
        <v>810</v>
      </c>
      <c r="C34" s="1110"/>
      <c r="D34" s="1118"/>
    </row>
    <row r="35" spans="2:6" ht="15.6">
      <c r="B35" s="1113" t="s">
        <v>811</v>
      </c>
      <c r="C35" s="1110">
        <f>+BSPL!G33/'Result 2 BS'!$E$3</f>
        <v>1145.8910509</v>
      </c>
      <c r="D35" s="1111">
        <f>+BSPL!H33/'Result 2 BS'!$E$3</f>
        <v>430.66111999999998</v>
      </c>
    </row>
    <row r="36" spans="2:6" ht="15.6">
      <c r="B36" s="1113" t="s">
        <v>812</v>
      </c>
      <c r="C36" s="1110">
        <f>+BSPL!G34/'Result 2 BS'!$E$3</f>
        <v>8.3898970000000013</v>
      </c>
      <c r="D36" s="1111">
        <f>+BSPL!H34/'Result 2 BS'!$E$3</f>
        <v>9.7507570000000019</v>
      </c>
    </row>
    <row r="37" spans="2:6" ht="15.6">
      <c r="B37" s="1113" t="s">
        <v>813</v>
      </c>
      <c r="C37" s="1110">
        <f>+BSPL!G35/'Result 2 BS'!$E$3</f>
        <v>41.057569186484308</v>
      </c>
      <c r="D37" s="1111">
        <f>+BSPL!H35/'Result 2 BS'!$E$3</f>
        <v>161.51128949873626</v>
      </c>
    </row>
    <row r="38" spans="2:6" ht="15.6">
      <c r="B38" s="1128" t="s">
        <v>2906</v>
      </c>
      <c r="C38" s="1181">
        <f>SUM(C35:C37)</f>
        <v>1195.3385170864842</v>
      </c>
      <c r="D38" s="1116">
        <f>SUM(D35:D37)</f>
        <v>601.92316649873624</v>
      </c>
    </row>
    <row r="39" spans="2:6" ht="15.6">
      <c r="B39" s="1126" t="s">
        <v>814</v>
      </c>
      <c r="C39" s="1110"/>
      <c r="D39" s="1118"/>
    </row>
    <row r="40" spans="2:6" ht="15.6">
      <c r="B40" s="1113" t="s">
        <v>810</v>
      </c>
      <c r="C40" s="1110"/>
      <c r="D40" s="1118"/>
    </row>
    <row r="41" spans="2:6" ht="15.6">
      <c r="B41" s="1113" t="s">
        <v>811</v>
      </c>
      <c r="C41" s="1110">
        <f>+BSPL!G39/'Result 2 BS'!$E$3</f>
        <v>1012.7469328</v>
      </c>
      <c r="D41" s="1111">
        <f>+BSPL!H39/'Result 2 BS'!$E$3</f>
        <v>772.09079569999994</v>
      </c>
    </row>
    <row r="42" spans="2:6" ht="15.6">
      <c r="B42" s="1113" t="s">
        <v>815</v>
      </c>
      <c r="C42" s="1110">
        <f>+BSPL!G40/'Result 2 BS'!$E$3</f>
        <v>915.97921990151008</v>
      </c>
      <c r="D42" s="1111">
        <f>+BSPL!H40/'Result 2 BS'!$E$3</f>
        <v>873.56478839999988</v>
      </c>
    </row>
    <row r="43" spans="2:6" ht="15.6">
      <c r="B43" s="1113" t="s">
        <v>816</v>
      </c>
      <c r="C43" s="1110">
        <f>+BSPL!G41/'Result 2 BS'!$E$3</f>
        <v>63.976080000000003</v>
      </c>
      <c r="D43" s="1111">
        <f>+BSPL!H41/'Result 2 BS'!$E$3</f>
        <v>11.52229</v>
      </c>
    </row>
    <row r="44" spans="2:6" ht="15.6">
      <c r="B44" s="1113" t="s">
        <v>817</v>
      </c>
      <c r="C44" s="1110">
        <f>+BSPL!G42/'Result 2 BS'!$E$3</f>
        <v>23.125318599999989</v>
      </c>
      <c r="D44" s="1111">
        <f>+BSPL!H42/'Result 2 BS'!$E$3</f>
        <v>65.683699999999988</v>
      </c>
    </row>
    <row r="45" spans="2:6" ht="15.6">
      <c r="B45" s="1113" t="s">
        <v>818</v>
      </c>
      <c r="C45" s="1110">
        <f>+BSPL!G43/'Result 2 BS'!$E$3</f>
        <v>20.095749999999999</v>
      </c>
      <c r="D45" s="1111">
        <f>+BSPL!H43/'Result 2 BS'!$E$3</f>
        <v>34.105359999999997</v>
      </c>
    </row>
    <row r="46" spans="2:6" ht="15.6">
      <c r="B46" s="1127" t="s">
        <v>2907</v>
      </c>
      <c r="C46" s="1181">
        <f>SUM(C41:C45)</f>
        <v>2035.9233013015098</v>
      </c>
      <c r="D46" s="1116">
        <f>SUM(D41:D45)</f>
        <v>1756.9669341000001</v>
      </c>
    </row>
    <row r="47" spans="2:6" ht="16.2" thickBot="1">
      <c r="B47" s="1184" t="s">
        <v>2908</v>
      </c>
      <c r="C47" s="1188">
        <f>C32+C38+C46</f>
        <v>5590.7407391405832</v>
      </c>
      <c r="D47" s="1189">
        <f>D32+D38+D46</f>
        <v>5091.131570504198</v>
      </c>
    </row>
    <row r="48" spans="2:6">
      <c r="B48" s="1129"/>
      <c r="C48" s="1129"/>
      <c r="D48" s="1129"/>
      <c r="E48" s="12">
        <f>+C47-C26</f>
        <v>0</v>
      </c>
      <c r="F48" s="12">
        <f>+D47-D26</f>
        <v>-6.3267998484661803E-7</v>
      </c>
    </row>
    <row r="49" spans="2:7">
      <c r="B49" s="151" t="s">
        <v>2893</v>
      </c>
      <c r="C49" s="1129"/>
      <c r="D49" s="1129"/>
    </row>
    <row r="50" spans="2:7">
      <c r="B50" s="151" t="s">
        <v>2909</v>
      </c>
      <c r="F50" s="12"/>
      <c r="G50" s="3"/>
    </row>
    <row r="51" spans="2:7" ht="32.25" customHeight="1">
      <c r="B51" s="449"/>
      <c r="C51" s="449"/>
      <c r="D51" s="449"/>
      <c r="E51" s="449"/>
      <c r="F51" s="449"/>
      <c r="G51" s="449"/>
    </row>
    <row r="52" spans="2:7">
      <c r="B52" s="449"/>
      <c r="C52" s="449"/>
      <c r="D52" s="449"/>
      <c r="E52" s="449"/>
      <c r="F52" s="449"/>
      <c r="G52" s="449"/>
    </row>
    <row r="53" spans="2:7">
      <c r="F53" s="12"/>
      <c r="G53" s="3"/>
    </row>
    <row r="54" spans="2:7">
      <c r="B54" s="1129"/>
      <c r="C54" s="1129"/>
      <c r="D54" s="1129"/>
    </row>
    <row r="55" spans="2:7">
      <c r="B55" s="1129"/>
      <c r="C55" s="1129"/>
      <c r="D55" s="1129"/>
    </row>
    <row r="56" spans="2:7">
      <c r="B56" s="1129"/>
      <c r="C56" s="1129"/>
      <c r="D56" s="1129"/>
    </row>
    <row r="57" spans="2:7">
      <c r="B57" s="1129"/>
      <c r="C57" s="1129"/>
      <c r="D57" s="1129"/>
    </row>
    <row r="58" spans="2:7">
      <c r="B58" s="1129"/>
      <c r="C58" s="1129"/>
      <c r="D58" s="1129"/>
    </row>
    <row r="59" spans="2:7">
      <c r="B59" s="1129"/>
      <c r="C59" s="1129"/>
      <c r="D59" s="1129"/>
    </row>
    <row r="60" spans="2:7">
      <c r="B60" s="1129"/>
      <c r="C60" s="1129"/>
      <c r="D60" s="1129"/>
    </row>
    <row r="61" spans="2:7">
      <c r="B61" s="1129"/>
      <c r="C61" s="1129"/>
      <c r="D61" s="1129"/>
    </row>
    <row r="62" spans="2:7">
      <c r="B62" s="1129"/>
      <c r="C62" s="1129"/>
      <c r="D62" s="1129"/>
    </row>
    <row r="63" spans="2:7">
      <c r="B63" s="1129"/>
      <c r="C63" s="1129"/>
      <c r="D63" s="1129"/>
    </row>
    <row r="64" spans="2:7">
      <c r="B64" s="1129"/>
      <c r="C64" s="1129"/>
      <c r="D64" s="1129"/>
    </row>
    <row r="65" spans="2:4">
      <c r="B65" s="1129"/>
      <c r="C65" s="1129"/>
      <c r="D65" s="1129"/>
    </row>
    <row r="66" spans="2:4">
      <c r="B66" s="1129"/>
      <c r="C66" s="1129"/>
      <c r="D66" s="1129"/>
    </row>
    <row r="67" spans="2:4">
      <c r="B67" s="1129"/>
      <c r="C67" s="1129"/>
      <c r="D67" s="1129"/>
    </row>
    <row r="68" spans="2:4">
      <c r="B68" s="1129"/>
      <c r="C68" s="1129"/>
      <c r="D68" s="1129"/>
    </row>
    <row r="69" spans="2:4">
      <c r="B69" s="1129"/>
      <c r="C69" s="1129"/>
      <c r="D69" s="1129"/>
    </row>
    <row r="70" spans="2:4">
      <c r="B70" s="1129"/>
      <c r="C70" s="1129"/>
      <c r="D70" s="1129"/>
    </row>
    <row r="71" spans="2:4">
      <c r="B71" s="1129"/>
      <c r="C71" s="1129"/>
      <c r="D71" s="1129"/>
    </row>
    <row r="72" spans="2:4">
      <c r="B72" s="1129"/>
      <c r="C72" s="1129"/>
      <c r="D72" s="1129"/>
    </row>
    <row r="73" spans="2:4">
      <c r="B73" s="1129"/>
      <c r="C73" s="1129"/>
      <c r="D73" s="1129"/>
    </row>
    <row r="74" spans="2:4">
      <c r="B74" s="1129"/>
      <c r="C74" s="1129"/>
      <c r="D74" s="1129"/>
    </row>
    <row r="75" spans="2:4">
      <c r="B75" s="1129"/>
      <c r="C75" s="1129"/>
      <c r="D75" s="1129"/>
    </row>
    <row r="76" spans="2:4">
      <c r="B76" s="1129"/>
      <c r="C76" s="1129"/>
      <c r="D76" s="1129"/>
    </row>
    <row r="77" spans="2:4" ht="15.75" customHeight="1">
      <c r="B77" s="1129"/>
      <c r="C77" s="1129"/>
      <c r="D77" s="1129"/>
    </row>
    <row r="78" spans="2:4" ht="15.75" customHeight="1">
      <c r="B78" s="1129"/>
      <c r="C78" s="1129"/>
      <c r="D78" s="1129"/>
    </row>
    <row r="79" spans="2:4">
      <c r="B79" s="1129"/>
      <c r="C79" s="1129"/>
      <c r="D79" s="1129"/>
    </row>
    <row r="80" spans="2:4">
      <c r="B80" s="1129"/>
      <c r="C80" s="1129"/>
      <c r="D80" s="1129"/>
    </row>
    <row r="81" spans="2:4">
      <c r="B81" s="1129"/>
      <c r="C81" s="1129"/>
      <c r="D81" s="1129"/>
    </row>
    <row r="82" spans="2:4">
      <c r="B82" s="1129"/>
      <c r="C82" s="1129"/>
      <c r="D82" s="1129"/>
    </row>
    <row r="83" spans="2:4">
      <c r="B83" s="1129"/>
      <c r="C83" s="1129"/>
      <c r="D83" s="1129"/>
    </row>
    <row r="84" spans="2:4">
      <c r="B84" s="1129"/>
      <c r="C84" s="1129"/>
      <c r="D84" s="1129"/>
    </row>
    <row r="85" spans="2:4">
      <c r="B85" s="1129"/>
      <c r="C85" s="1129"/>
      <c r="D85" s="1129"/>
    </row>
    <row r="86" spans="2:4">
      <c r="B86" s="1129"/>
      <c r="C86" s="1129"/>
      <c r="D86" s="1129"/>
    </row>
    <row r="87" spans="2:4">
      <c r="B87" s="1129"/>
      <c r="C87" s="1129"/>
      <c r="D87" s="1129"/>
    </row>
    <row r="88" spans="2:4">
      <c r="B88" s="1129"/>
      <c r="C88" s="1129"/>
      <c r="D88" s="1129"/>
    </row>
    <row r="89" spans="2:4">
      <c r="B89" s="1129"/>
      <c r="C89" s="1129"/>
      <c r="D89" s="1129"/>
    </row>
    <row r="90" spans="2:4" ht="15.75" customHeight="1">
      <c r="B90" s="1129"/>
      <c r="C90" s="1129"/>
      <c r="D90" s="1129"/>
    </row>
    <row r="91" spans="2:4">
      <c r="B91" s="1129"/>
      <c r="C91" s="1129"/>
      <c r="D91" s="1129"/>
    </row>
    <row r="92" spans="2:4">
      <c r="B92" s="1129"/>
      <c r="C92" s="1129"/>
      <c r="D92" s="1129"/>
    </row>
    <row r="93" spans="2:4">
      <c r="B93" s="1129"/>
      <c r="C93" s="1129"/>
      <c r="D93" s="1129"/>
    </row>
    <row r="94" spans="2:4">
      <c r="B94" s="1129"/>
      <c r="C94" s="1129"/>
      <c r="D94" s="1129"/>
    </row>
    <row r="95" spans="2:4">
      <c r="B95" s="1129"/>
      <c r="C95" s="1129"/>
      <c r="D95" s="1129"/>
    </row>
    <row r="96" spans="2:4">
      <c r="B96" s="1129"/>
      <c r="C96" s="1129"/>
      <c r="D96" s="1129"/>
    </row>
    <row r="97" spans="2:4">
      <c r="B97" s="1129"/>
      <c r="C97" s="1129"/>
      <c r="D97" s="1129"/>
    </row>
    <row r="98" spans="2:4">
      <c r="B98" s="1129"/>
      <c r="C98" s="1129"/>
      <c r="D98" s="1129"/>
    </row>
    <row r="99" spans="2:4">
      <c r="B99" s="1129"/>
      <c r="C99" s="1129"/>
      <c r="D99" s="1129"/>
    </row>
    <row r="104" spans="2:4" ht="15.75" customHeight="1"/>
    <row r="112" spans="2:4" ht="16.5" customHeight="1"/>
  </sheetData>
  <mergeCells count="3">
    <mergeCell ref="B3:D3"/>
    <mergeCell ref="B4:D4"/>
    <mergeCell ref="B7:B8"/>
  </mergeCells>
  <pageMargins left="0.7" right="0.7" top="0.75" bottom="0.75" header="0.3" footer="0.3"/>
  <pageSetup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50"/>
  <sheetViews>
    <sheetView view="pageBreakPreview" zoomScaleNormal="100" zoomScaleSheetLayoutView="100" workbookViewId="0">
      <selection activeCell="G8" sqref="G8"/>
    </sheetView>
  </sheetViews>
  <sheetFormatPr defaultColWidth="9.109375" defaultRowHeight="14.4"/>
  <cols>
    <col min="2" max="2" width="2.33203125" customWidth="1"/>
    <col min="3" max="3" width="87.6640625" customWidth="1"/>
    <col min="4" max="4" width="24.44140625" style="3" bestFit="1" customWidth="1"/>
    <col min="5" max="5" width="17.44140625" style="3" customWidth="1"/>
    <col min="6" max="6" width="5.109375" customWidth="1"/>
  </cols>
  <sheetData>
    <row r="1" spans="2:5">
      <c r="B1">
        <v>100000</v>
      </c>
      <c r="E1" s="3">
        <v>100000</v>
      </c>
    </row>
    <row r="2" spans="2:5" ht="15" thickBot="1"/>
    <row r="3" spans="2:5" ht="22.95" customHeight="1">
      <c r="C3" s="2300" t="s">
        <v>785</v>
      </c>
      <c r="D3" s="2301"/>
      <c r="E3" s="2302"/>
    </row>
    <row r="4" spans="2:5" ht="15.6">
      <c r="C4" s="2303" t="s">
        <v>2915</v>
      </c>
      <c r="D4" s="2304"/>
      <c r="E4" s="2305"/>
    </row>
    <row r="5" spans="2:5" ht="15.75" customHeight="1">
      <c r="C5" s="1190" t="s">
        <v>2910</v>
      </c>
      <c r="D5" s="1191">
        <v>45016</v>
      </c>
      <c r="E5" s="1192">
        <v>44651</v>
      </c>
    </row>
    <row r="6" spans="2:5" ht="15.6">
      <c r="C6" s="1193" t="s">
        <v>2463</v>
      </c>
      <c r="D6" s="1194" t="s">
        <v>2859</v>
      </c>
      <c r="E6" s="1195" t="s">
        <v>2859</v>
      </c>
    </row>
    <row r="7" spans="2:5" ht="15.6">
      <c r="C7" s="1190" t="s">
        <v>2464</v>
      </c>
      <c r="D7" s="1196">
        <f>+'Cash Flow'!B7/'Result 3 CF'!$E$1</f>
        <v>-497.75047946512461</v>
      </c>
      <c r="E7" s="1197">
        <f>+'Cash Flow'!C7/'Result 3 CF'!$E$1</f>
        <v>30.857267607851028</v>
      </c>
    </row>
    <row r="8" spans="2:5" ht="15.6">
      <c r="C8" s="1198" t="s">
        <v>2465</v>
      </c>
      <c r="D8" s="1130"/>
      <c r="E8" s="1199"/>
    </row>
    <row r="9" spans="2:5" ht="17.25" customHeight="1">
      <c r="C9" s="1198" t="s">
        <v>2466</v>
      </c>
      <c r="D9" s="1131">
        <f>+'Cash Flow'!B9/'Result 3 CF'!$E$1</f>
        <v>4.5342099999999999</v>
      </c>
      <c r="E9" s="1200">
        <f>+'Cash Flow'!C9/'Result 3 CF'!$E$1</f>
        <v>11.040749999999999</v>
      </c>
    </row>
    <row r="10" spans="2:5" ht="15.6">
      <c r="C10" s="1198" t="s">
        <v>2467</v>
      </c>
      <c r="D10" s="1131">
        <f>+'Cash Flow'!B10/'Result 3 CF'!$E$1</f>
        <v>180.81666999999999</v>
      </c>
      <c r="E10" s="1200">
        <f>+'Cash Flow'!C10/'Result 3 CF'!$E$1</f>
        <v>179.57748491325566</v>
      </c>
    </row>
    <row r="11" spans="2:5" ht="15.6">
      <c r="C11" s="1198" t="s">
        <v>850</v>
      </c>
      <c r="D11" s="1131">
        <f>+'Cash Flow'!B11/'Result 3 CF'!$E$1</f>
        <v>85.876410000000007</v>
      </c>
      <c r="E11" s="1200">
        <f>+'Cash Flow'!C11/'Result 3 CF'!$E$1</f>
        <v>76.029531500000004</v>
      </c>
    </row>
    <row r="12" spans="2:5" ht="15.6">
      <c r="C12" s="1198" t="s">
        <v>2468</v>
      </c>
      <c r="D12" s="1131"/>
      <c r="E12" s="1200"/>
    </row>
    <row r="13" spans="2:5" ht="15.6">
      <c r="C13" s="1190" t="s">
        <v>2469</v>
      </c>
      <c r="D13" s="1201">
        <f>SUM(D7:D12)</f>
        <v>-226.52318946512463</v>
      </c>
      <c r="E13" s="1202">
        <f>SUM(E7:E12)</f>
        <v>297.50503402110672</v>
      </c>
    </row>
    <row r="14" spans="2:5" ht="15.6">
      <c r="C14" s="1193" t="s">
        <v>2471</v>
      </c>
      <c r="D14" s="1131"/>
      <c r="E14" s="1200"/>
    </row>
    <row r="15" spans="2:5" ht="15.6">
      <c r="C15" s="1198" t="s">
        <v>2480</v>
      </c>
      <c r="D15" s="1131">
        <f>+'Cash Flow'!B16/'Result 3 CF'!$E$1</f>
        <v>-110.694138336384</v>
      </c>
      <c r="E15" s="1200">
        <f>+'Cash Flow'!C16/'Result 3 CF'!$E$1</f>
        <v>159.20527497889339</v>
      </c>
    </row>
    <row r="16" spans="2:5" ht="15.6">
      <c r="C16" s="1198" t="s">
        <v>2481</v>
      </c>
      <c r="D16" s="1131">
        <f>+'Cash Flow'!B17/'Result 3 CF'!$E$1</f>
        <v>507.52504290000007</v>
      </c>
      <c r="E16" s="1200">
        <f>+'Cash Flow'!C17/'Result 3 CF'!$E$1</f>
        <v>-107.94696999999999</v>
      </c>
    </row>
    <row r="17" spans="3:5" ht="15.6">
      <c r="C17" s="1198" t="s">
        <v>2482</v>
      </c>
      <c r="D17" s="1131">
        <f>+'Cash Flow'!B18/'Result 3 CF'!$E$1</f>
        <v>9.3550000000000004</v>
      </c>
      <c r="E17" s="1200">
        <f>+'Cash Flow'!C18/'Result 3 CF'!$E$1</f>
        <v>-10.815003999999998</v>
      </c>
    </row>
    <row r="18" spans="3:5" ht="15.6">
      <c r="C18" s="1198" t="s">
        <v>2483</v>
      </c>
      <c r="D18" s="1131">
        <f>+'Cash Flow'!B19/'Result 2 BS'!$E$3</f>
        <v>-37.814469800000005</v>
      </c>
      <c r="E18" s="1200">
        <f>+'Cash Flow'!C19/'Result 2 BS'!$E$3</f>
        <v>-20.962419999999995</v>
      </c>
    </row>
    <row r="19" spans="3:5" ht="15.6">
      <c r="C19" s="1198" t="s">
        <v>2487</v>
      </c>
      <c r="D19" s="1131">
        <f>+'Cash Flow'!B21/'Result 3 CF'!$E$1</f>
        <v>42.414431501510144</v>
      </c>
      <c r="E19" s="1200">
        <f>+'Cash Flow'!C21/'Result 3 CF'!$E$1</f>
        <v>77.287790799999982</v>
      </c>
    </row>
    <row r="20" spans="3:5" ht="15.6">
      <c r="C20" s="1198" t="s">
        <v>2490</v>
      </c>
      <c r="D20" s="1131">
        <f>+'Cash Flow'!B22/'Result 3 CF'!$E$1</f>
        <v>-1.36086</v>
      </c>
      <c r="E20" s="1200">
        <f>+'Cash Flow'!C22/'Result 3 CF'!$E$1</f>
        <v>-5.6855000000000002</v>
      </c>
    </row>
    <row r="21" spans="3:5" ht="15.6">
      <c r="C21" s="1198" t="s">
        <v>2493</v>
      </c>
      <c r="D21" s="1131">
        <f>+'Cash Flow'!B23/'Result 3 CF'!$E$1</f>
        <v>-0.64788000000000001</v>
      </c>
      <c r="E21" s="1200">
        <f>+'Cash Flow'!C23/'Result 3 CF'!$E$1</f>
        <v>-0.93962999999999997</v>
      </c>
    </row>
    <row r="22" spans="3:5" ht="15.6">
      <c r="C22" s="1198" t="s">
        <v>2496</v>
      </c>
      <c r="D22" s="1131">
        <f>+'Cash Flow'!B24/'Result 3 CF'!$E$1</f>
        <v>-42.558381400000009</v>
      </c>
      <c r="E22" s="1200">
        <f>+'Cash Flow'!C24/'Result 3 CF'!$E$1</f>
        <v>-1.1746131000000146</v>
      </c>
    </row>
    <row r="23" spans="3:5" ht="15.6">
      <c r="C23" s="1198" t="s">
        <v>2497</v>
      </c>
      <c r="D23" s="1131">
        <f>+'Cash Flow'!B25/'Result 3 CF'!$E$1</f>
        <v>-14.00961</v>
      </c>
      <c r="E23" s="1200">
        <f>+'Cash Flow'!C25/'Result 3 CF'!$E$1</f>
        <v>-1.4570149500000011</v>
      </c>
    </row>
    <row r="24" spans="3:5" ht="15.6">
      <c r="C24" s="1198" t="s">
        <v>2500</v>
      </c>
      <c r="D24" s="1131">
        <f>+'Cash Flow'!B26/'Result 3 CF'!$E$1</f>
        <v>-10.861473900000002</v>
      </c>
      <c r="E24" s="1200">
        <f>+'Cash Flow'!C26/'Result 3 CF'!$E$1</f>
        <v>-3.9817460999999987</v>
      </c>
    </row>
    <row r="25" spans="3:5" ht="15.6">
      <c r="C25" s="1198" t="s">
        <v>2502</v>
      </c>
      <c r="D25" s="1131">
        <f>+'Cash Flow'!B27/'Result 3 CF'!$E$1</f>
        <v>-63.435540000000003</v>
      </c>
      <c r="E25" s="1200">
        <f>+'Cash Flow'!C27/'Result 3 CF'!$E$1</f>
        <v>-5.4690000000000003</v>
      </c>
    </row>
    <row r="26" spans="3:5" ht="15.6">
      <c r="C26" s="1190" t="s">
        <v>2505</v>
      </c>
      <c r="D26" s="1201">
        <f>SUM(D14:D25)</f>
        <v>277.91212096512618</v>
      </c>
      <c r="E26" s="1202">
        <f>SUM(E14:E25)</f>
        <v>78.061167628893372</v>
      </c>
    </row>
    <row r="27" spans="3:5" ht="15.6">
      <c r="C27" s="1190" t="s">
        <v>2506</v>
      </c>
      <c r="D27" s="1201">
        <f>+D26+D13</f>
        <v>51.388931500001547</v>
      </c>
      <c r="E27" s="1202">
        <f>+E26+E13</f>
        <v>375.5662016500001</v>
      </c>
    </row>
    <row r="28" spans="3:5" ht="15.6">
      <c r="C28" s="1193" t="s">
        <v>2507</v>
      </c>
      <c r="D28" s="1130">
        <f>+'Cash Flow'!B31/'Result 3 CF'!$E$1</f>
        <v>-12.274425463122041</v>
      </c>
      <c r="E28" s="1199">
        <f>+'Cash Flow'!C31/'Result 3 CF'!$E$1</f>
        <v>-42.340797999999999</v>
      </c>
    </row>
    <row r="29" spans="3:5" ht="15.6">
      <c r="C29" s="1190" t="s">
        <v>2509</v>
      </c>
      <c r="D29" s="1201">
        <f>+D27+D28</f>
        <v>39.114506036879504</v>
      </c>
      <c r="E29" s="1202">
        <f>+E27+E28</f>
        <v>333.22540365000009</v>
      </c>
    </row>
    <row r="30" spans="3:5" ht="15.6">
      <c r="C30" s="1193" t="s">
        <v>2512</v>
      </c>
      <c r="D30" s="1131"/>
      <c r="E30" s="1200"/>
    </row>
    <row r="31" spans="3:5" ht="15.6">
      <c r="C31" s="1198" t="s">
        <v>2514</v>
      </c>
      <c r="D31" s="1131">
        <f>+'Cash Flow'!B35/'Result 3 CF'!$E$1</f>
        <v>-907.51787390000015</v>
      </c>
      <c r="E31" s="1200">
        <f>+'Cash Flow'!C35/'Result 3 CF'!$E$1</f>
        <v>-607.92146597719761</v>
      </c>
    </row>
    <row r="32" spans="3:5" ht="15.6">
      <c r="C32" s="1198" t="s">
        <v>2516</v>
      </c>
      <c r="D32" s="1131">
        <v>0</v>
      </c>
      <c r="E32" s="1200">
        <v>0</v>
      </c>
    </row>
    <row r="33" spans="3:5" ht="15.6" hidden="1">
      <c r="C33" s="1198" t="s">
        <v>2517</v>
      </c>
      <c r="D33" s="1131"/>
      <c r="E33" s="1200"/>
    </row>
    <row r="34" spans="3:5" ht="15.6" hidden="1">
      <c r="C34" s="1198" t="s">
        <v>2518</v>
      </c>
      <c r="D34" s="1131"/>
      <c r="E34" s="1200"/>
    </row>
    <row r="35" spans="3:5" ht="15.6" hidden="1">
      <c r="C35" s="1198" t="s">
        <v>2519</v>
      </c>
      <c r="D35" s="1131"/>
      <c r="E35" s="1200"/>
    </row>
    <row r="36" spans="3:5" ht="15.6" hidden="1">
      <c r="C36" s="1198" t="s">
        <v>2520</v>
      </c>
      <c r="D36" s="1131"/>
      <c r="E36" s="1200"/>
    </row>
    <row r="37" spans="3:5" ht="15.6">
      <c r="C37" s="1190" t="s">
        <v>2521</v>
      </c>
      <c r="D37" s="1201">
        <f>SUM(D31:D36)</f>
        <v>-907.51787390000015</v>
      </c>
      <c r="E37" s="1202">
        <f>SUM(E31:E36)</f>
        <v>-607.92146597719761</v>
      </c>
    </row>
    <row r="38" spans="3:5" ht="15.6">
      <c r="C38" s="1193" t="s">
        <v>2522</v>
      </c>
      <c r="D38" s="1131"/>
      <c r="E38" s="1200"/>
    </row>
    <row r="39" spans="3:5" ht="15.6">
      <c r="C39" s="1198" t="s">
        <v>2524</v>
      </c>
      <c r="D39" s="1131">
        <f>+'Cash Flow'!B46/'Result 3 CF'!$E$1</f>
        <v>1039.2345271000002</v>
      </c>
      <c r="E39" s="1200">
        <f>+'Cash Flow'!C46/'Result 3 CF'!$E$1</f>
        <v>132.66364190000004</v>
      </c>
    </row>
    <row r="40" spans="3:5" ht="15.6">
      <c r="C40" s="1198" t="s">
        <v>2526</v>
      </c>
      <c r="D40" s="1131">
        <f>+'Cash Flow'!B47/'Result 3 CF'!$E$1</f>
        <v>-83.348459099999999</v>
      </c>
      <c r="E40" s="1200">
        <f>+'Cash Flow'!C47/'Result 3 CF'!$E$1</f>
        <v>216.90743600000002</v>
      </c>
    </row>
    <row r="41" spans="3:5" ht="15.6">
      <c r="C41" s="1198" t="s">
        <v>2527</v>
      </c>
      <c r="D41" s="1131">
        <f>+'Cash Flow'!B48/'Result 3 CF'!$E$1</f>
        <v>-85.876410000000007</v>
      </c>
      <c r="E41" s="1200">
        <f>+'Cash Flow'!C48/'Result 3 CF'!$E$1</f>
        <v>-77.422221500000006</v>
      </c>
    </row>
    <row r="42" spans="3:5" ht="15.6">
      <c r="C42" s="1198"/>
      <c r="D42" s="1131"/>
      <c r="E42" s="1200"/>
    </row>
    <row r="43" spans="3:5" ht="15.6">
      <c r="C43" s="1190" t="s">
        <v>2528</v>
      </c>
      <c r="D43" s="1201">
        <f>SUM(D39:D42)</f>
        <v>870.00965800000017</v>
      </c>
      <c r="E43" s="1202">
        <f>SUM(E39:E42)</f>
        <v>272.14885640000011</v>
      </c>
    </row>
    <row r="44" spans="3:5" ht="15.6">
      <c r="C44" s="1193"/>
      <c r="D44" s="1131"/>
      <c r="E44" s="1200"/>
    </row>
    <row r="45" spans="3:5" ht="15.6">
      <c r="C45" s="1203" t="s">
        <v>2529</v>
      </c>
      <c r="D45" s="1201">
        <f>+D43+D37+D29</f>
        <v>1.6062901368795224</v>
      </c>
      <c r="E45" s="1202">
        <f>+E43+E37+E29</f>
        <v>-2.5472059271974103</v>
      </c>
    </row>
    <row r="46" spans="3:5" ht="15.6">
      <c r="C46" s="1204" t="s">
        <v>2530</v>
      </c>
      <c r="D46" s="1135">
        <f>+'Cash Flow'!B54/'Result 3 CF'!$E$1</f>
        <v>0.7914743516946211</v>
      </c>
      <c r="E46" s="1205">
        <f>+'Cash Flow'!C54/'Result 3 CF'!$E$1</f>
        <v>3.33868027889207</v>
      </c>
    </row>
    <row r="47" spans="3:5" ht="16.2" thickBot="1">
      <c r="C47" s="1206" t="s">
        <v>2531</v>
      </c>
      <c r="D47" s="1207">
        <f>+D45+D46</f>
        <v>2.3977644885741434</v>
      </c>
      <c r="E47" s="1208">
        <f>+E45+E46</f>
        <v>0.79147435169465963</v>
      </c>
    </row>
    <row r="49" spans="3:5">
      <c r="C49" s="449"/>
      <c r="D49" s="449"/>
      <c r="E49" s="449"/>
    </row>
    <row r="50" spans="3:5">
      <c r="C50" s="449"/>
      <c r="D50" s="449"/>
      <c r="E50" s="449"/>
    </row>
  </sheetData>
  <mergeCells count="2">
    <mergeCell ref="C3:E3"/>
    <mergeCell ref="C4:E4"/>
  </mergeCells>
  <pageMargins left="0.7" right="0.7" top="0.75" bottom="0.75" header="0.3" footer="0.3"/>
  <pageSetup scale="69" orientation="portrait" r:id="rId1"/>
  <colBreaks count="1" manualBreakCount="1">
    <brk id="2" min="2" max="4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8"/>
  <sheetViews>
    <sheetView workbookViewId="0">
      <selection activeCell="H46" sqref="H46"/>
    </sheetView>
  </sheetViews>
  <sheetFormatPr defaultRowHeight="14.4"/>
  <cols>
    <col min="1" max="1" width="59.109375" customWidth="1"/>
    <col min="2" max="2" width="15.33203125" style="3" bestFit="1" customWidth="1"/>
  </cols>
  <sheetData>
    <row r="1" spans="1:2">
      <c r="A1" s="146" t="s">
        <v>2182</v>
      </c>
    </row>
    <row r="3" spans="1:2">
      <c r="A3" s="152" t="s">
        <v>2183</v>
      </c>
      <c r="B3" s="444">
        <f>+BSPL!G22</f>
        <v>199719282.97363842</v>
      </c>
    </row>
    <row r="4" spans="1:2">
      <c r="A4" s="445" t="s">
        <v>2184</v>
      </c>
      <c r="B4" s="446">
        <f>+BSPL!G44</f>
        <v>203592330.130151</v>
      </c>
    </row>
    <row r="5" spans="1:2" ht="15" thickBot="1">
      <c r="A5" s="447" t="s">
        <v>2185</v>
      </c>
      <c r="B5" s="448">
        <f>+B3-B4</f>
        <v>-3873047.1565125883</v>
      </c>
    </row>
    <row r="6" spans="1:2" ht="15" thickTop="1"/>
    <row r="7" spans="1:2">
      <c r="A7" s="449" t="s">
        <v>2186</v>
      </c>
      <c r="B7" s="3">
        <f>+BSPL!G30</f>
        <v>235947892.07525888</v>
      </c>
    </row>
    <row r="9" spans="1:2" ht="15" thickBot="1">
      <c r="B9" s="450">
        <f>+B7-B5</f>
        <v>239820939.23177147</v>
      </c>
    </row>
    <row r="10" spans="1:2" ht="15" thickTop="1"/>
    <row r="11" spans="1:2">
      <c r="A11" s="151" t="s">
        <v>2189</v>
      </c>
    </row>
    <row r="12" spans="1:2">
      <c r="A12" s="449" t="s">
        <v>2187</v>
      </c>
      <c r="B12" s="3">
        <f>+BSPL!G8</f>
        <v>193428260.33041993</v>
      </c>
    </row>
    <row r="13" spans="1:2">
      <c r="A13" s="449" t="s">
        <v>461</v>
      </c>
      <c r="B13" s="3">
        <f>+BSPL!G9</f>
        <v>146447232.61000001</v>
      </c>
    </row>
    <row r="14" spans="1:2">
      <c r="A14" s="449" t="s">
        <v>2188</v>
      </c>
      <c r="B14" s="3">
        <f>+BSPL!G13-'Working Capital'!B12-'Working Capital'!B13</f>
        <v>19479297.99999997</v>
      </c>
    </row>
    <row r="15" spans="1:2">
      <c r="A15" s="449"/>
    </row>
    <row r="16" spans="1:2">
      <c r="A16" s="162" t="s">
        <v>2190</v>
      </c>
    </row>
    <row r="17" spans="1:2" ht="115.2">
      <c r="A17" s="449" t="str">
        <f>+BSPL!B368</f>
        <v>1) Term Loan is secured by the assets to be created out of Bank Finance including Hypothecation of Plant &amp; machineries purchased out of Bank Finance, hypothecation of new additional Plant &amp; Machineries to be bought in, hypothecation of Factory Land and  Buildings bearing Survey No. 31 situated at Kh No 31/1 &amp; 31/2 within the limits of Grampanchayat Ringanboli, Tah : Katol, Mouza Hardoli, Katol, Dist.: Nagpur, Maharashtra - 441103, Admeasuring total area of 42,200 Sq. Mtrs.</v>
      </c>
      <c r="B17" s="451">
        <f>+BSPL!G367</f>
        <v>57314949</v>
      </c>
    </row>
    <row r="18" spans="1:2">
      <c r="A18" s="449"/>
      <c r="B18" s="451">
        <f>+B12-B17</f>
        <v>136113311.33041993</v>
      </c>
    </row>
    <row r="19" spans="1:2" ht="86.4">
      <c r="A19" s="449" t="str">
        <f>+BSPL!B373</f>
        <v>1) Working Capital Term Loan (WCTL) is secured by the hypothecation &amp; first charge on existing as well as future entire stock of raw materials, finished goods, stock-in-process, stores and spares, packing materials at the factory premises or at some other places including goods in transit, outstanding moneys, book debts and receivables with the personal guarantees of the directors.</v>
      </c>
      <c r="B19" s="451">
        <f>+BSPL!G372</f>
        <v>4466577.09</v>
      </c>
    </row>
    <row r="20" spans="1:2">
      <c r="A20" s="449" t="s">
        <v>982</v>
      </c>
      <c r="B20" s="451"/>
    </row>
    <row r="21" spans="1:2" ht="86.4">
      <c r="A21" s="449" t="str">
        <f>+BSPL!B413</f>
        <v>(Secured by way of hypothecation Factory land and Building, Plant and Machinery and of entire existing and future stock of the unit at its godowns or at some other places including goods in transit, outstanding moneys, book debts, receivables, both present and future including personal guarantee of all the Directors &amp; the Promoters of the Company. These borrowings are repayable on demand.)</v>
      </c>
      <c r="B21" s="451">
        <f>+BSPL!G412</f>
        <v>78274677.280000001</v>
      </c>
    </row>
    <row r="22" spans="1:2">
      <c r="A22" s="449"/>
      <c r="B22" s="3">
        <f>+B13+B14-B19-B21</f>
        <v>83185276.23999998</v>
      </c>
    </row>
    <row r="23" spans="1:2">
      <c r="A23" s="449"/>
    </row>
    <row r="24" spans="1:2" ht="15" thickBot="1">
      <c r="A24" s="449"/>
      <c r="B24" s="450">
        <f>+B9-B22</f>
        <v>156635662.99177149</v>
      </c>
    </row>
    <row r="25" spans="1:2" ht="15" thickTop="1">
      <c r="A25" s="449"/>
    </row>
    <row r="26" spans="1:2">
      <c r="A26" s="449"/>
    </row>
    <row r="27" spans="1:2">
      <c r="A27" s="449"/>
    </row>
    <row r="28" spans="1:2">
      <c r="A28" s="449"/>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Ratio Analysis (2)</vt:lpstr>
      <vt:lpstr>Cash Flow Lakhs</vt:lpstr>
      <vt:lpstr>Cash Flow</vt:lpstr>
      <vt:lpstr>BSPL</vt:lpstr>
      <vt:lpstr>BSPL Lakhs</vt:lpstr>
      <vt:lpstr>Result 1 P&amp;L</vt:lpstr>
      <vt:lpstr>Result 2 BS</vt:lpstr>
      <vt:lpstr>Result 3 CF</vt:lpstr>
      <vt:lpstr>Working Capital</vt:lpstr>
      <vt:lpstr>Ratio Analysis</vt:lpstr>
      <vt:lpstr>FINAL LIST OF SAL CAPITALISE22-</vt:lpstr>
      <vt:lpstr>MSME Int</vt:lpstr>
      <vt:lpstr>COI</vt:lpstr>
      <vt:lpstr>Related Parties</vt:lpstr>
      <vt:lpstr>Depreciation</vt:lpstr>
      <vt:lpstr>Depreciation Lakhs</vt:lpstr>
      <vt:lpstr>Pivot</vt:lpstr>
      <vt:lpstr>TB Final</vt:lpstr>
      <vt:lpstr>TB</vt:lpstr>
      <vt:lpstr>Debtor's Ageing</vt:lpstr>
      <vt:lpstr>Dir Rem CA 2013</vt:lpstr>
      <vt:lpstr>Dir Rem</vt:lpstr>
      <vt:lpstr>DT</vt:lpstr>
      <vt:lpstr>TL &amp; intt.</vt:lpstr>
      <vt:lpstr>Shareholders List</vt:lpstr>
      <vt:lpstr>Term Loans and Interest</vt:lpstr>
      <vt:lpstr>Cost Sheet</vt:lpstr>
      <vt:lpstr>IPS Sanction Letter &amp; Books</vt:lpstr>
      <vt:lpstr>Capital Advance</vt:lpstr>
      <vt:lpstr>Deferred taxation</vt:lpstr>
      <vt:lpstr>FG Valuation</vt:lpstr>
      <vt:lpstr>CLOSING STOCK 22-23</vt:lpstr>
      <vt:lpstr>Loans to staff</vt:lpstr>
      <vt:lpstr>Advance to Supplier</vt:lpstr>
      <vt:lpstr>IT Dep</vt:lpstr>
      <vt:lpstr>MSME 22-23</vt:lpstr>
      <vt:lpstr>Leave Encashment</vt:lpstr>
      <vt:lpstr>BSPL!Print_Area</vt:lpstr>
      <vt:lpstr>'BSPL Lakhs'!Print_Area</vt:lpstr>
      <vt:lpstr>'Cash Flow'!Print_Area</vt:lpstr>
      <vt:lpstr>'Cash Flow Lakhs'!Print_Area</vt:lpstr>
      <vt:lpstr>'CLOSING STOCK 22-23'!Print_Area</vt:lpstr>
      <vt:lpstr>COI!Print_Area</vt:lpstr>
      <vt:lpstr>Depreciation!Print_Area</vt:lpstr>
      <vt:lpstr>'Depreciation Lakhs'!Print_Area</vt:lpstr>
      <vt:lpstr>'FG Valuation'!Print_Area</vt:lpstr>
      <vt:lpstr>'FINAL LIST OF SAL CAPITALISE22-'!Print_Area</vt:lpstr>
      <vt:lpstr>'IT Dep'!Print_Area</vt:lpstr>
      <vt:lpstr>'Leave Encashment'!Print_Area</vt:lpstr>
      <vt:lpstr>'Loans to staff'!Print_Area</vt:lpstr>
      <vt:lpstr>'MSME 22-23'!Print_Area</vt:lpstr>
      <vt:lpstr>'Ratio Analysis'!Print_Area</vt:lpstr>
      <vt:lpstr>'Ratio Analysis (2)'!Print_Area</vt:lpstr>
      <vt:lpstr>'Result 1 P&amp;L'!Print_Area</vt:lpstr>
      <vt:lpstr>'Result 2 BS'!Print_Area</vt:lpstr>
      <vt:lpstr>'Result 3 CF'!Print_Area</vt:lpstr>
      <vt:lpstr>Pivot!Print_Titles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Amit</dc:creator>
  <cp:lastModifiedBy>Kaustubh Aurangabadkar</cp:lastModifiedBy>
  <cp:lastPrinted>2023-07-01T12:20:32Z</cp:lastPrinted>
  <dcterms:created xsi:type="dcterms:W3CDTF">2015-06-05T18:17:20Z</dcterms:created>
  <dcterms:modified xsi:type="dcterms:W3CDTF">2023-07-01T12:31:47Z</dcterms:modified>
</cp:coreProperties>
</file>